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comments2.xml" ContentType="application/vnd.openxmlformats-officedocument.spreadsheetml.comments+xml"/>
  <Override PartName="/xl/drawings/drawing4.xml" ContentType="application/vnd.openxmlformats-officedocument.drawing+xml"/>
  <Override PartName="/xl/comments3.xml" ContentType="application/vnd.openxmlformats-officedocument.spreadsheetml.comments+xml"/>
  <Override PartName="/xl/drawings/drawing5.xml" ContentType="application/vnd.openxmlformats-officedocument.drawing+xml"/>
  <Override PartName="/xl/comments4.xml" ContentType="application/vnd.openxmlformats-officedocument.spreadsheetml.comments+xml"/>
  <Override PartName="/xl/drawings/drawing6.xml" ContentType="application/vnd.openxmlformats-officedocument.drawing+xml"/>
  <Override PartName="/xl/comments5.xml" ContentType="application/vnd.openxmlformats-officedocument.spreadsheetml.comments+xml"/>
  <Override PartName="/xl/drawings/drawing7.xml" ContentType="application/vnd.openxmlformats-officedocument.drawing+xml"/>
  <Override PartName="/xl/drawings/drawing8.xml" ContentType="application/vnd.openxmlformats-officedocument.drawing+xml"/>
  <Override PartName="/xl/comments6.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comments7.xml" ContentType="application/vnd.openxmlformats-officedocument.spreadsheetml.comments+xml"/>
  <Override PartName="/xl/drawings/drawing11.xml" ContentType="application/vnd.openxmlformats-officedocument.drawing+xml"/>
  <Override PartName="/xl/comments8.xml" ContentType="application/vnd.openxmlformats-officedocument.spreadsheetml.comments+xml"/>
  <Override PartName="/xl/drawings/drawing12.xml" ContentType="application/vnd.openxmlformats-officedocument.drawing+xml"/>
  <Override PartName="/xl/comments9.xml" ContentType="application/vnd.openxmlformats-officedocument.spreadsheetml.comments+xml"/>
  <Override PartName="/xl/drawings/drawing13.xml" ContentType="application/vnd.openxmlformats-officedocument.drawing+xml"/>
  <Override PartName="/xl/comments10.xml" ContentType="application/vnd.openxmlformats-officedocument.spreadsheetml.comments+xml"/>
  <Override PartName="/xl/drawings/drawing14.xml" ContentType="application/vnd.openxmlformats-officedocument.drawing+xml"/>
  <Override PartName="/xl/comments11.xml" ContentType="application/vnd.openxmlformats-officedocument.spreadsheetml.comments+xml"/>
  <Override PartName="/xl/drawings/drawing15.xml" ContentType="application/vnd.openxmlformats-officedocument.drawing+xml"/>
  <Override PartName="/xl/comments12.xml" ContentType="application/vnd.openxmlformats-officedocument.spreadsheetml.comments+xml"/>
  <Override PartName="/xl/drawings/drawing16.xml" ContentType="application/vnd.openxmlformats-officedocument.drawing+xml"/>
  <Override PartName="/xl/charts/chart1.xml" ContentType="application/vnd.openxmlformats-officedocument.drawingml.chart+xml"/>
  <Override PartName="/xl/drawings/drawing17.xml" ContentType="application/vnd.openxmlformats-officedocument.drawing+xml"/>
  <Override PartName="/xl/comments13.xml" ContentType="application/vnd.openxmlformats-officedocument.spreadsheetml.comments+xml"/>
  <Override PartName="/xl/drawings/drawing18.xml" ContentType="application/vnd.openxmlformats-officedocument.drawing+xml"/>
  <Override PartName="/xl/comments14.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D:\downloads\"/>
    </mc:Choice>
  </mc:AlternateContent>
  <xr:revisionPtr revIDLastSave="0" documentId="13_ncr:1_{1A4D7855-A264-4D76-9FDA-0232358502C7}" xr6:coauthVersionLast="47" xr6:coauthVersionMax="47" xr10:uidLastSave="{00000000-0000-0000-0000-000000000000}"/>
  <bookViews>
    <workbookView xWindow="2400" yWindow="2010" windowWidth="19620" windowHeight="11385" firstSheet="2" activeTab="13" xr2:uid="{00000000-000D-0000-FFFF-FFFF00000000}"/>
  </bookViews>
  <sheets>
    <sheet name="Home" sheetId="1" r:id="rId1"/>
    <sheet name="Changelog" sheetId="2" r:id="rId2"/>
    <sheet name="FAQ" sheetId="3" r:id="rId3"/>
    <sheet name="Equipment" sheetId="4" r:id="rId4"/>
    <sheet name="Weapons" sheetId="5" r:id="rId5"/>
    <sheet name="Abilities" sheetId="6" r:id="rId6"/>
    <sheet name="Ranking" sheetId="7" r:id="rId7"/>
    <sheet name="Single" sheetId="8" r:id="rId8"/>
    <sheet name="Ranking (old)" sheetId="9" state="hidden" r:id="rId9"/>
    <sheet name="Sequencing (old)" sheetId="10" state="hidden" r:id="rId10"/>
    <sheet name="Sequencing" sheetId="11" state="hidden" r:id="rId11"/>
    <sheet name="Single (old)" sheetId="12" state="hidden" r:id="rId12"/>
    <sheet name="Swap" sheetId="13" r:id="rId13"/>
    <sheet name="Bosses" sheetId="14" r:id="rId14"/>
    <sheet name="Timing (old)" sheetId="15" state="hidden" r:id="rId15"/>
    <sheet name="Wolfpacks (old)" sheetId="16" state="hidden" r:id="rId16"/>
    <sheet name="Wolfpacks" sheetId="17" r:id="rId17"/>
    <sheet name="Historical" sheetId="18" r:id="rId18"/>
    <sheet name="Testing" sheetId="19" r:id="rId19"/>
    <sheet name="Experimental" sheetId="20" state="hidden" r:id="rId20"/>
    <sheet name="Components (old)" sheetId="21" state="hidden" r:id="rId21"/>
    <sheet name="Effects" sheetId="22" state="hidden" r:id="rId22"/>
    <sheet name="Timing (older)" sheetId="23" state="hidden" r:id="rId23"/>
  </sheets>
  <definedNames>
    <definedName name="_xlnm._FilterDatabase" localSheetId="5" hidden="1">Abilities!$A$1:$J$67</definedName>
    <definedName name="_xlnm._FilterDatabase" localSheetId="13" hidden="1">Bosses!$A$2:$Z$40</definedName>
    <definedName name="_xlnm._FilterDatabase" localSheetId="20" hidden="1">'Components (old)'!$A$2:$Q$84</definedName>
    <definedName name="_xlnm._FilterDatabase" localSheetId="3" hidden="1">Equipment!$A$1:$I$56</definedName>
    <definedName name="_xlnm._FilterDatabase" localSheetId="19" hidden="1">Experimental!$A$1:$K$19</definedName>
    <definedName name="_xlnm._FilterDatabase" localSheetId="17" hidden="1">Historical!$A$1:$H$16</definedName>
    <definedName name="_xlnm._FilterDatabase" localSheetId="6" hidden="1">Ranking!$A$2:$AA$29</definedName>
    <definedName name="_xlnm._FilterDatabase" localSheetId="8" hidden="1">'Ranking (old)'!$A$1:$I$38</definedName>
    <definedName name="_xlnm._FilterDatabase" localSheetId="9" hidden="1">'Sequencing (old)'!$A$1:$L$1043</definedName>
    <definedName name="_xlnm._FilterDatabase" localSheetId="7" hidden="1">Single!$A$1:$U$140</definedName>
    <definedName name="_xlnm._FilterDatabase" localSheetId="11" hidden="1">'Single (old)'!$A$1:$E$81</definedName>
    <definedName name="_xlnm._FilterDatabase" localSheetId="12" hidden="1">Swap!$A$1:$P$82</definedName>
    <definedName name="_xlnm._FilterDatabase" localSheetId="14" hidden="1">'Timing (old)'!$A$1:$L$1043</definedName>
    <definedName name="_xlnm._FilterDatabase" localSheetId="4" hidden="1">Weapons!$A$1:$J$121</definedName>
    <definedName name="Z_02DB96A9_CBEE_44F7_A7B1_D231E5C33D94_.wvu.FilterData" localSheetId="13" hidden="1">Bosses!$A$2:$Z$40</definedName>
    <definedName name="Z_04D8138C_E48E_464D_9522_DA976F39619D_.wvu.FilterData" localSheetId="11" hidden="1">'Single (old)'!$A$1:$E$81</definedName>
    <definedName name="Z_0C34A16E_AC52_462E_BA03_E4B6D381A7A9_.wvu.FilterData" localSheetId="8" hidden="1">'Ranking (old)'!$A$1:$I$38</definedName>
    <definedName name="Z_39CB8EDD_32E1_4D8F_B9D1_2DBF05F9928D_.wvu.FilterData" localSheetId="3" hidden="1">Equipment!$A$1:$I$56</definedName>
    <definedName name="Z_776AA23B_62DC_426E_8F80_AAF02C1B3437_.wvu.FilterData" localSheetId="12" hidden="1">Swap!$A$1:$P$82</definedName>
    <definedName name="Z_7BB77F1C_095E_42C5_9CEE_DD9A45611D57_.wvu.FilterData" localSheetId="8" hidden="1">'Ranking (old)'!$A$1:$I$38</definedName>
    <definedName name="Z_D166B886_1AD5_46A9_98F0_F138368FECEF_.wvu.FilterData" localSheetId="3" hidden="1">Equipment!$A$1:$I$56</definedName>
    <definedName name="Z_F1712641_7503_4E7D_B80E_2CC45834AA23_.wvu.FilterData" localSheetId="12" hidden="1">Swap!$A$1:$P$82</definedName>
  </definedNames>
  <calcPr calcId="191029"/>
  <customWorkbookViews>
    <customWorkbookView name="Weapons" guid="{D166B886-1AD5-46A9-98F0-F138368FECEF}" maximized="1" windowWidth="0" windowHeight="0" activeSheetId="0"/>
    <customWorkbookView name="Armor" guid="{39CB8EDD-32E1-4D8F-B9D1-2DBF05F9928D}" maximized="1" windowWidth="0" windowHeight="0" activeSheetId="0"/>
    <customWorkbookView name="DPS" guid="{7BB77F1C-095E-42C5-9CEE-DD9A45611D57}" maximized="1" windowWidth="0" windowHeight="0" activeSheetId="0"/>
    <customWorkbookView name="Total damage" guid="{0C34A16E-AC52-462E-BA03-E4B6D381A7A9}" maximized="1" windowWidth="0" windowHeight="0" activeSheetId="0"/>
    <customWorkbookView name="Sustained DPS" guid="{04D8138C-E48E-464D-9522-DA976F39619D}" maximized="1" windowWidth="0" windowHeight="0" activeSheetId="0"/>
    <customWorkbookView name="Health (lowest to highest)" guid="{02DB96A9-CBEE-44F7-A7B1-D231E5C33D94}" maximized="1" windowWidth="0" windowHeight="0" activeSheetId="0"/>
    <customWorkbookView name="True DPS" guid="{776AA23B-62DC-426E-8F80-AAF02C1B3437}" maximized="1" windowWidth="0" windowHeight="0" activeSheetId="0"/>
    <customWorkbookView name="Swap DPS" guid="{F1712641-7503-4E7D-B80E-2CC45834AA23}" maximized="1" windowWidth="0" windowHeight="0" activeSheetId="0"/>
  </customWorkbookView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4" i="14" l="1"/>
  <c r="I5" i="14"/>
  <c r="I6" i="14"/>
  <c r="I7" i="14"/>
  <c r="Z7" i="14" s="1"/>
  <c r="I8" i="14"/>
  <c r="Z8" i="14" s="1"/>
  <c r="I9" i="14"/>
  <c r="I10" i="14"/>
  <c r="I11" i="14"/>
  <c r="Z11" i="14" s="1"/>
  <c r="I12" i="14"/>
  <c r="I13" i="14"/>
  <c r="I14" i="14"/>
  <c r="I15" i="14"/>
  <c r="I16" i="14"/>
  <c r="Z16" i="14" s="1"/>
  <c r="I17" i="14"/>
  <c r="I18" i="14"/>
  <c r="I19" i="14"/>
  <c r="I20" i="14"/>
  <c r="I21" i="14"/>
  <c r="I22" i="14"/>
  <c r="I23" i="14"/>
  <c r="I24" i="14"/>
  <c r="I25" i="14"/>
  <c r="I26" i="14"/>
  <c r="I27" i="14"/>
  <c r="I28" i="14"/>
  <c r="I29" i="14"/>
  <c r="I30" i="14"/>
  <c r="I31" i="14"/>
  <c r="I32" i="14"/>
  <c r="I33" i="14"/>
  <c r="I34" i="14"/>
  <c r="I35" i="14"/>
  <c r="I36" i="14"/>
  <c r="I37" i="14"/>
  <c r="I38" i="14"/>
  <c r="I39" i="14"/>
  <c r="Z39" i="14" s="1"/>
  <c r="I40" i="14"/>
  <c r="H4" i="14"/>
  <c r="H5" i="14"/>
  <c r="H6" i="14"/>
  <c r="H7" i="14"/>
  <c r="H8" i="14"/>
  <c r="H9" i="14"/>
  <c r="H10" i="14"/>
  <c r="H11" i="14"/>
  <c r="H12" i="14"/>
  <c r="H13" i="14"/>
  <c r="H14" i="14"/>
  <c r="H15" i="14"/>
  <c r="H16" i="14"/>
  <c r="H17" i="14"/>
  <c r="H18" i="14"/>
  <c r="H19" i="14"/>
  <c r="H20" i="14"/>
  <c r="H21" i="14"/>
  <c r="H22" i="14"/>
  <c r="H23" i="14"/>
  <c r="H24" i="14"/>
  <c r="H25" i="14"/>
  <c r="H26" i="14"/>
  <c r="H27" i="14"/>
  <c r="H28" i="14"/>
  <c r="H29" i="14"/>
  <c r="H30" i="14"/>
  <c r="H31" i="14"/>
  <c r="H32" i="14"/>
  <c r="H33" i="14"/>
  <c r="H34" i="14"/>
  <c r="H35" i="14"/>
  <c r="H36" i="14"/>
  <c r="H37" i="14"/>
  <c r="H38" i="14"/>
  <c r="H39" i="14"/>
  <c r="H40" i="14"/>
  <c r="I3" i="14"/>
  <c r="H3" i="14"/>
  <c r="J3" i="14" s="1"/>
  <c r="F22" i="14"/>
  <c r="I48" i="23"/>
  <c r="I43" i="23"/>
  <c r="I41" i="23"/>
  <c r="I39" i="23"/>
  <c r="I36" i="23"/>
  <c r="I22" i="23"/>
  <c r="I21" i="23"/>
  <c r="I20" i="23"/>
  <c r="I19" i="23"/>
  <c r="I18" i="23"/>
  <c r="I17" i="23"/>
  <c r="I13" i="23"/>
  <c r="I12" i="23"/>
  <c r="I11" i="23"/>
  <c r="I6" i="23"/>
  <c r="I4" i="23"/>
  <c r="F1" i="23" s="1"/>
  <c r="Q84" i="21"/>
  <c r="P84" i="21" s="1"/>
  <c r="N84" i="21"/>
  <c r="M84" i="21"/>
  <c r="O84" i="21" s="1"/>
  <c r="E84" i="21"/>
  <c r="Q83" i="21"/>
  <c r="P83" i="21" s="1"/>
  <c r="O83" i="21"/>
  <c r="N83" i="21"/>
  <c r="M83" i="21"/>
  <c r="E83" i="21"/>
  <c r="C83" i="21"/>
  <c r="Q82" i="21"/>
  <c r="P82" i="21"/>
  <c r="N82" i="21"/>
  <c r="M82" i="21"/>
  <c r="O82" i="21" s="1"/>
  <c r="E82" i="21"/>
  <c r="C82" i="21"/>
  <c r="Q81" i="21"/>
  <c r="N81" i="21"/>
  <c r="M81" i="21"/>
  <c r="O81" i="21" s="1"/>
  <c r="E81" i="21"/>
  <c r="P81" i="21" s="1"/>
  <c r="Q80" i="21"/>
  <c r="P80" i="21"/>
  <c r="N80" i="21"/>
  <c r="M80" i="21"/>
  <c r="O80" i="21" s="1"/>
  <c r="E80" i="21"/>
  <c r="Q79" i="21"/>
  <c r="N79" i="21"/>
  <c r="G79" i="21"/>
  <c r="M79" i="21" s="1"/>
  <c r="E79" i="21"/>
  <c r="Q78" i="21"/>
  <c r="P78" i="21"/>
  <c r="N78" i="21"/>
  <c r="M78" i="21"/>
  <c r="O78" i="21" s="1"/>
  <c r="E78" i="21"/>
  <c r="C78" i="21"/>
  <c r="Q77" i="21"/>
  <c r="P77" i="21"/>
  <c r="O77" i="21"/>
  <c r="N77" i="21"/>
  <c r="M77" i="21"/>
  <c r="Q76" i="21"/>
  <c r="P76" i="21" s="1"/>
  <c r="N76" i="21"/>
  <c r="M76" i="21"/>
  <c r="O76" i="21" s="1"/>
  <c r="C76" i="21"/>
  <c r="Q75" i="21"/>
  <c r="P75" i="21" s="1"/>
  <c r="O75" i="21"/>
  <c r="N75" i="21"/>
  <c r="M75" i="21"/>
  <c r="Q74" i="21"/>
  <c r="P74" i="21" s="1"/>
  <c r="O74" i="21"/>
  <c r="N74" i="21"/>
  <c r="M74" i="21"/>
  <c r="C74" i="21"/>
  <c r="Q73" i="21"/>
  <c r="O73" i="21"/>
  <c r="N73" i="21"/>
  <c r="M73" i="21"/>
  <c r="P73" i="21" s="1"/>
  <c r="E73" i="21"/>
  <c r="N72" i="21"/>
  <c r="M72" i="21"/>
  <c r="O72" i="21" s="1"/>
  <c r="G72" i="21"/>
  <c r="Q72" i="21" s="1"/>
  <c r="P72" i="21" s="1"/>
  <c r="E72" i="21"/>
  <c r="Q71" i="21"/>
  <c r="P71" i="21" s="1"/>
  <c r="N71" i="21"/>
  <c r="G71" i="21"/>
  <c r="M71" i="21" s="1"/>
  <c r="O71" i="21" s="1"/>
  <c r="Q70" i="21"/>
  <c r="P70" i="21"/>
  <c r="N70" i="21"/>
  <c r="M70" i="21"/>
  <c r="O70" i="21" s="1"/>
  <c r="E70" i="21"/>
  <c r="C70" i="21"/>
  <c r="Q69" i="21"/>
  <c r="P69" i="21" s="1"/>
  <c r="O69" i="21"/>
  <c r="N69" i="21"/>
  <c r="M69" i="21"/>
  <c r="E69" i="21"/>
  <c r="C69" i="21"/>
  <c r="Q68" i="21"/>
  <c r="P68" i="21"/>
  <c r="O68" i="21"/>
  <c r="N68" i="21"/>
  <c r="M68" i="21"/>
  <c r="E68" i="21"/>
  <c r="C68" i="21"/>
  <c r="Q67" i="21"/>
  <c r="P67" i="21" s="1"/>
  <c r="O67" i="21"/>
  <c r="N67" i="21"/>
  <c r="M67" i="21"/>
  <c r="E67" i="21"/>
  <c r="C67" i="21"/>
  <c r="Q66" i="21"/>
  <c r="N66" i="21"/>
  <c r="M66" i="21"/>
  <c r="O66" i="21" s="1"/>
  <c r="E66" i="21"/>
  <c r="Q65" i="21"/>
  <c r="P65" i="21" s="1"/>
  <c r="O65" i="21"/>
  <c r="N65" i="21"/>
  <c r="M65" i="21"/>
  <c r="E65" i="21"/>
  <c r="Q64" i="21"/>
  <c r="P64" i="21"/>
  <c r="N64" i="21"/>
  <c r="M64" i="21"/>
  <c r="O64" i="21" s="1"/>
  <c r="E64" i="21"/>
  <c r="C64" i="21"/>
  <c r="Q63" i="21"/>
  <c r="P63" i="21" s="1"/>
  <c r="O63" i="21"/>
  <c r="N63" i="21"/>
  <c r="M63" i="21"/>
  <c r="E63" i="21"/>
  <c r="C63" i="21"/>
  <c r="Q62" i="21"/>
  <c r="P62" i="21"/>
  <c r="O62" i="21"/>
  <c r="N62" i="21"/>
  <c r="M62" i="21"/>
  <c r="E62" i="21"/>
  <c r="Q61" i="21"/>
  <c r="N61" i="21"/>
  <c r="G61" i="21"/>
  <c r="M61" i="21" s="1"/>
  <c r="Q60" i="21"/>
  <c r="P60" i="21" s="1"/>
  <c r="O60" i="21"/>
  <c r="N60" i="21"/>
  <c r="M60" i="21"/>
  <c r="Q59" i="21"/>
  <c r="P59" i="21" s="1"/>
  <c r="O59" i="21"/>
  <c r="N59" i="21"/>
  <c r="M59" i="21"/>
  <c r="Q58" i="21"/>
  <c r="P58" i="21" s="1"/>
  <c r="N58" i="21"/>
  <c r="M58" i="21"/>
  <c r="O58" i="21" s="1"/>
  <c r="E58" i="21"/>
  <c r="Q57" i="21"/>
  <c r="P57" i="21" s="1"/>
  <c r="O57" i="21"/>
  <c r="N57" i="21"/>
  <c r="M57" i="21"/>
  <c r="C57" i="21"/>
  <c r="Q56" i="21"/>
  <c r="P56" i="21"/>
  <c r="N56" i="21"/>
  <c r="M56" i="21"/>
  <c r="O56" i="21" s="1"/>
  <c r="Q55" i="21"/>
  <c r="P55" i="21" s="1"/>
  <c r="N55" i="21"/>
  <c r="M55" i="21"/>
  <c r="O55" i="21" s="1"/>
  <c r="G55" i="21"/>
  <c r="E55" i="21"/>
  <c r="Q54" i="21"/>
  <c r="N54" i="21"/>
  <c r="M54" i="21"/>
  <c r="O54" i="21" s="1"/>
  <c r="E54" i="21"/>
  <c r="Q53" i="21"/>
  <c r="O53" i="21"/>
  <c r="N53" i="21"/>
  <c r="M53" i="21"/>
  <c r="E53" i="21"/>
  <c r="Q52" i="21"/>
  <c r="P52" i="21"/>
  <c r="N52" i="21"/>
  <c r="M52" i="21"/>
  <c r="O52" i="21" s="1"/>
  <c r="G52" i="21"/>
  <c r="N51" i="21"/>
  <c r="I51" i="21"/>
  <c r="G51" i="21"/>
  <c r="M51" i="21" s="1"/>
  <c r="O51" i="21" s="1"/>
  <c r="E51" i="21"/>
  <c r="Q50" i="21"/>
  <c r="P50" i="21"/>
  <c r="O50" i="21"/>
  <c r="N50" i="21"/>
  <c r="M50" i="21"/>
  <c r="Q49" i="21"/>
  <c r="P49" i="21"/>
  <c r="N49" i="21"/>
  <c r="M49" i="21"/>
  <c r="O49" i="21" s="1"/>
  <c r="E49" i="21"/>
  <c r="C49" i="21"/>
  <c r="Q48" i="21"/>
  <c r="P48" i="21"/>
  <c r="O48" i="21"/>
  <c r="N48" i="21"/>
  <c r="M48" i="21"/>
  <c r="Q47" i="21"/>
  <c r="P47" i="21" s="1"/>
  <c r="O47" i="21"/>
  <c r="N47" i="21"/>
  <c r="M47" i="21"/>
  <c r="C47" i="21"/>
  <c r="Q46" i="21"/>
  <c r="P46" i="21" s="1"/>
  <c r="O46" i="21"/>
  <c r="N46" i="21"/>
  <c r="M46" i="21"/>
  <c r="N45" i="21"/>
  <c r="G45" i="21"/>
  <c r="E45" i="21"/>
  <c r="Q44" i="21"/>
  <c r="P44" i="21" s="1"/>
  <c r="O44" i="21"/>
  <c r="N44" i="21"/>
  <c r="M44" i="21"/>
  <c r="Q43" i="21"/>
  <c r="P43" i="21"/>
  <c r="O43" i="21"/>
  <c r="N43" i="21"/>
  <c r="M43" i="21"/>
  <c r="E43" i="21"/>
  <c r="N42" i="21"/>
  <c r="I42" i="21"/>
  <c r="H42" i="21"/>
  <c r="G42" i="21"/>
  <c r="E42" i="21"/>
  <c r="Q41" i="21"/>
  <c r="P41" i="21" s="1"/>
  <c r="N41" i="21"/>
  <c r="M41" i="21"/>
  <c r="O41" i="21" s="1"/>
  <c r="E41" i="21"/>
  <c r="N40" i="21"/>
  <c r="M40" i="21"/>
  <c r="O40" i="21" s="1"/>
  <c r="G40" i="21"/>
  <c r="Q40" i="21" s="1"/>
  <c r="P40" i="21" s="1"/>
  <c r="E40" i="21"/>
  <c r="C40" i="21"/>
  <c r="Q39" i="21"/>
  <c r="N39" i="21"/>
  <c r="M39" i="21"/>
  <c r="Q38" i="21"/>
  <c r="P38" i="21"/>
  <c r="N38" i="21"/>
  <c r="M38" i="21"/>
  <c r="O38" i="21" s="1"/>
  <c r="E38" i="21"/>
  <c r="C38" i="21"/>
  <c r="Q37" i="21"/>
  <c r="P37" i="21" s="1"/>
  <c r="N37" i="21"/>
  <c r="G37" i="21"/>
  <c r="M37" i="21" s="1"/>
  <c r="O37" i="21" s="1"/>
  <c r="N36" i="21"/>
  <c r="M36" i="21"/>
  <c r="O36" i="21" s="1"/>
  <c r="G36" i="21"/>
  <c r="Q36" i="21" s="1"/>
  <c r="P36" i="21" s="1"/>
  <c r="E36" i="21"/>
  <c r="N35" i="21"/>
  <c r="G35" i="21"/>
  <c r="C35" i="21"/>
  <c r="E35" i="21" s="1"/>
  <c r="Q34" i="21"/>
  <c r="P34" i="21" s="1"/>
  <c r="N34" i="21"/>
  <c r="M34" i="21"/>
  <c r="O34" i="21" s="1"/>
  <c r="C34" i="21"/>
  <c r="Q33" i="21"/>
  <c r="P33" i="21"/>
  <c r="O33" i="21"/>
  <c r="N33" i="21"/>
  <c r="M33" i="21"/>
  <c r="C33" i="21"/>
  <c r="Q32" i="21"/>
  <c r="P32" i="21"/>
  <c r="N32" i="21"/>
  <c r="M32" i="21"/>
  <c r="O32" i="21" s="1"/>
  <c r="Q31" i="21"/>
  <c r="O31" i="21"/>
  <c r="N31" i="21"/>
  <c r="M31" i="21"/>
  <c r="C31" i="21"/>
  <c r="E31" i="21" s="1"/>
  <c r="Q30" i="21"/>
  <c r="N30" i="21"/>
  <c r="M30" i="21"/>
  <c r="O30" i="21" s="1"/>
  <c r="E30" i="21"/>
  <c r="Q29" i="21"/>
  <c r="N29" i="21"/>
  <c r="G29" i="21"/>
  <c r="M29" i="21" s="1"/>
  <c r="Q28" i="21"/>
  <c r="P28" i="21"/>
  <c r="N28" i="21"/>
  <c r="M28" i="21"/>
  <c r="O28" i="21" s="1"/>
  <c r="E28" i="21"/>
  <c r="N27" i="21"/>
  <c r="G27" i="21"/>
  <c r="M27" i="21" s="1"/>
  <c r="O27" i="21" s="1"/>
  <c r="E27" i="21"/>
  <c r="C27" i="21"/>
  <c r="N26" i="21"/>
  <c r="G26" i="21"/>
  <c r="M26" i="21" s="1"/>
  <c r="O26" i="21" s="1"/>
  <c r="E26" i="21"/>
  <c r="C26" i="21"/>
  <c r="Q25" i="21"/>
  <c r="P25" i="21"/>
  <c r="O25" i="21"/>
  <c r="N25" i="21"/>
  <c r="M25" i="21"/>
  <c r="E25" i="21"/>
  <c r="C25" i="21"/>
  <c r="Q24" i="21"/>
  <c r="O24" i="21"/>
  <c r="N24" i="21"/>
  <c r="M24" i="21"/>
  <c r="P24" i="21" s="1"/>
  <c r="C24" i="21"/>
  <c r="Q23" i="21"/>
  <c r="P23" i="21"/>
  <c r="N23" i="21"/>
  <c r="M23" i="21"/>
  <c r="O23" i="21" s="1"/>
  <c r="E23" i="21"/>
  <c r="Q22" i="21"/>
  <c r="P22" i="21" s="1"/>
  <c r="O22" i="21"/>
  <c r="N22" i="21"/>
  <c r="M22" i="21"/>
  <c r="E22" i="21"/>
  <c r="Q21" i="21"/>
  <c r="P21" i="21" s="1"/>
  <c r="O21" i="21"/>
  <c r="N21" i="21"/>
  <c r="M21" i="21"/>
  <c r="F21" i="21"/>
  <c r="E21" i="21"/>
  <c r="N20" i="21"/>
  <c r="G20" i="21"/>
  <c r="M20" i="21" s="1"/>
  <c r="O20" i="21" s="1"/>
  <c r="E20" i="21"/>
  <c r="Q19" i="21"/>
  <c r="P19" i="21" s="1"/>
  <c r="O19" i="21"/>
  <c r="N19" i="21"/>
  <c r="M19" i="21"/>
  <c r="F19" i="21"/>
  <c r="E19" i="21"/>
  <c r="Q18" i="21"/>
  <c r="N18" i="21"/>
  <c r="M18" i="21"/>
  <c r="O18" i="21" s="1"/>
  <c r="E18" i="21"/>
  <c r="Q17" i="21"/>
  <c r="O17" i="21"/>
  <c r="N17" i="21"/>
  <c r="M17" i="21"/>
  <c r="E17" i="21"/>
  <c r="P17" i="21" s="1"/>
  <c r="C17" i="21"/>
  <c r="Q16" i="21"/>
  <c r="P16" i="21" s="1"/>
  <c r="N16" i="21"/>
  <c r="M16" i="21"/>
  <c r="O16" i="21" s="1"/>
  <c r="C16" i="21"/>
  <c r="Q15" i="21"/>
  <c r="P15" i="21" s="1"/>
  <c r="O15" i="21"/>
  <c r="N15" i="21"/>
  <c r="M15" i="21"/>
  <c r="E15" i="21"/>
  <c r="C15" i="21"/>
  <c r="Q14" i="21"/>
  <c r="P14" i="21"/>
  <c r="O14" i="21"/>
  <c r="N14" i="21"/>
  <c r="M14" i="21"/>
  <c r="E14" i="21"/>
  <c r="Q13" i="21"/>
  <c r="N13" i="21"/>
  <c r="M13" i="21"/>
  <c r="O13" i="21" s="1"/>
  <c r="E13" i="21"/>
  <c r="Q12" i="21"/>
  <c r="O12" i="21"/>
  <c r="N12" i="21"/>
  <c r="M12" i="21"/>
  <c r="E12" i="21"/>
  <c r="P12" i="21" s="1"/>
  <c r="Q11" i="21"/>
  <c r="P11" i="21"/>
  <c r="N11" i="21"/>
  <c r="M11" i="21"/>
  <c r="O11" i="21" s="1"/>
  <c r="E11" i="21"/>
  <c r="P10" i="21"/>
  <c r="O10" i="21"/>
  <c r="N10" i="21"/>
  <c r="M10" i="21"/>
  <c r="F10" i="21"/>
  <c r="Q10" i="21" s="1"/>
  <c r="E10" i="21"/>
  <c r="C10" i="21"/>
  <c r="N9" i="21"/>
  <c r="G9" i="21"/>
  <c r="M9" i="21" s="1"/>
  <c r="O9" i="21" s="1"/>
  <c r="E9" i="21"/>
  <c r="N8" i="21"/>
  <c r="M8" i="21"/>
  <c r="O8" i="21" s="1"/>
  <c r="I8" i="21"/>
  <c r="H8" i="21"/>
  <c r="G8" i="21"/>
  <c r="Q8" i="21" s="1"/>
  <c r="P8" i="21" s="1"/>
  <c r="E8" i="21"/>
  <c r="N7" i="21"/>
  <c r="G7" i="21"/>
  <c r="M7" i="21" s="1"/>
  <c r="O7" i="21" s="1"/>
  <c r="C7" i="21"/>
  <c r="Q6" i="21"/>
  <c r="P6" i="21" s="1"/>
  <c r="N6" i="21"/>
  <c r="M6" i="21"/>
  <c r="O6" i="21" s="1"/>
  <c r="E6" i="21"/>
  <c r="N5" i="21"/>
  <c r="M5" i="21"/>
  <c r="O5" i="21" s="1"/>
  <c r="G5" i="21"/>
  <c r="Q5" i="21" s="1"/>
  <c r="P5" i="21" s="1"/>
  <c r="E5" i="21"/>
  <c r="N4" i="21"/>
  <c r="G4" i="21"/>
  <c r="E4" i="21"/>
  <c r="Q3" i="21"/>
  <c r="P3" i="21" s="1"/>
  <c r="N3" i="21"/>
  <c r="M3" i="21"/>
  <c r="O3" i="21" s="1"/>
  <c r="N19" i="20"/>
  <c r="F19" i="20"/>
  <c r="K19" i="20" s="1"/>
  <c r="F18" i="20"/>
  <c r="K18" i="20" s="1"/>
  <c r="N17" i="20"/>
  <c r="K17" i="20"/>
  <c r="F17" i="20"/>
  <c r="F16" i="20"/>
  <c r="K16" i="20" s="1"/>
  <c r="K15" i="20"/>
  <c r="K14" i="20"/>
  <c r="F14" i="20"/>
  <c r="F13" i="20"/>
  <c r="K13" i="20" s="1"/>
  <c r="K12" i="20"/>
  <c r="F12" i="20"/>
  <c r="F11" i="20"/>
  <c r="K11" i="20" s="1"/>
  <c r="F10" i="20"/>
  <c r="K10" i="20" s="1"/>
  <c r="F9" i="20"/>
  <c r="K9" i="20" s="1"/>
  <c r="K8" i="20"/>
  <c r="F8" i="20"/>
  <c r="K7" i="20"/>
  <c r="F7" i="20"/>
  <c r="K6" i="20"/>
  <c r="F6" i="20"/>
  <c r="K5" i="20"/>
  <c r="K4" i="20"/>
  <c r="L4" i="20" s="1"/>
  <c r="L5" i="20" s="1"/>
  <c r="F4" i="20"/>
  <c r="L3" i="20"/>
  <c r="K3" i="20"/>
  <c r="F2" i="20"/>
  <c r="K2" i="20" s="1"/>
  <c r="L2" i="20" s="1"/>
  <c r="E19" i="19"/>
  <c r="F19" i="19" s="1"/>
  <c r="C19" i="19"/>
  <c r="H19" i="19" s="1"/>
  <c r="I19" i="19" s="1"/>
  <c r="B19" i="19"/>
  <c r="H18" i="19"/>
  <c r="I18" i="19" s="1"/>
  <c r="C18" i="19"/>
  <c r="E18" i="19" s="1"/>
  <c r="F18" i="19" s="1"/>
  <c r="B18" i="19"/>
  <c r="C17" i="19"/>
  <c r="H17" i="19" s="1"/>
  <c r="I17" i="19" s="1"/>
  <c r="B17" i="19"/>
  <c r="H16" i="19"/>
  <c r="I16" i="19" s="1"/>
  <c r="E16" i="19"/>
  <c r="F16" i="19" s="1"/>
  <c r="C16" i="19"/>
  <c r="B16" i="19"/>
  <c r="K11" i="19"/>
  <c r="K12" i="19" s="1"/>
  <c r="K13" i="19" s="1"/>
  <c r="K14" i="19" s="1"/>
  <c r="K15" i="19" s="1"/>
  <c r="K16" i="19" s="1"/>
  <c r="K17" i="19" s="1"/>
  <c r="K18" i="19" s="1"/>
  <c r="K19" i="19" s="1"/>
  <c r="K20" i="19" s="1"/>
  <c r="K21" i="19" s="1"/>
  <c r="K22" i="19" s="1"/>
  <c r="D11" i="19"/>
  <c r="E11" i="19" s="1"/>
  <c r="C11" i="19"/>
  <c r="G11" i="19" s="1"/>
  <c r="D10" i="19"/>
  <c r="E10" i="19" s="1"/>
  <c r="C10" i="19"/>
  <c r="C9" i="19"/>
  <c r="D8" i="19"/>
  <c r="E8" i="19" s="1"/>
  <c r="D7" i="19"/>
  <c r="C7" i="19"/>
  <c r="E6" i="19"/>
  <c r="D6" i="19"/>
  <c r="F6" i="19" s="1"/>
  <c r="E5" i="19"/>
  <c r="D5" i="19"/>
  <c r="D4" i="19"/>
  <c r="C4" i="19"/>
  <c r="K3" i="19"/>
  <c r="K4" i="19" s="1"/>
  <c r="K5" i="19" s="1"/>
  <c r="K6" i="19" s="1"/>
  <c r="K7" i="19" s="1"/>
  <c r="K8" i="19" s="1"/>
  <c r="K9" i="19" s="1"/>
  <c r="K10" i="19" s="1"/>
  <c r="D3" i="19"/>
  <c r="E3" i="19" s="1"/>
  <c r="K2" i="19"/>
  <c r="J2" i="19"/>
  <c r="J3" i="19" s="1"/>
  <c r="J4" i="19" s="1"/>
  <c r="J5" i="19" s="1"/>
  <c r="J6" i="19" s="1"/>
  <c r="F16" i="18"/>
  <c r="G16" i="18" s="1"/>
  <c r="H16" i="18" s="1"/>
  <c r="F15" i="18"/>
  <c r="G15" i="18" s="1"/>
  <c r="H15" i="18" s="1"/>
  <c r="F14" i="18"/>
  <c r="G14" i="18" s="1"/>
  <c r="H14" i="18" s="1"/>
  <c r="E14" i="18"/>
  <c r="H13" i="18"/>
  <c r="F13" i="18"/>
  <c r="G13" i="18" s="1"/>
  <c r="E13" i="18"/>
  <c r="F12" i="18"/>
  <c r="G12" i="18" s="1"/>
  <c r="H12" i="18" s="1"/>
  <c r="E12" i="18"/>
  <c r="F11" i="18"/>
  <c r="G11" i="18" s="1"/>
  <c r="H11" i="18" s="1"/>
  <c r="E11" i="18"/>
  <c r="F10" i="18"/>
  <c r="G10" i="18" s="1"/>
  <c r="H10" i="18" s="1"/>
  <c r="G9" i="18"/>
  <c r="H9" i="18" s="1"/>
  <c r="F9" i="18"/>
  <c r="E9" i="18"/>
  <c r="G8" i="18"/>
  <c r="F8" i="18"/>
  <c r="E8" i="18"/>
  <c r="H8" i="18" s="1"/>
  <c r="G7" i="18"/>
  <c r="H7" i="18" s="1"/>
  <c r="F7" i="18"/>
  <c r="E7" i="18"/>
  <c r="H6" i="18"/>
  <c r="F5" i="18"/>
  <c r="G5" i="18" s="1"/>
  <c r="H5" i="18" s="1"/>
  <c r="G4" i="18"/>
  <c r="H4" i="18" s="1"/>
  <c r="F4" i="18"/>
  <c r="E4" i="18"/>
  <c r="H3" i="18"/>
  <c r="F3" i="18"/>
  <c r="F2" i="18"/>
  <c r="H2" i="18" s="1"/>
  <c r="L28" i="17"/>
  <c r="J28" i="17"/>
  <c r="H28" i="17"/>
  <c r="F28" i="17"/>
  <c r="D28" i="17"/>
  <c r="C28" i="17"/>
  <c r="M28" i="17" s="1"/>
  <c r="K27" i="17"/>
  <c r="L27" i="17" s="1"/>
  <c r="I27" i="17"/>
  <c r="J27" i="17" s="1"/>
  <c r="G27" i="17"/>
  <c r="H27" i="17" s="1"/>
  <c r="F27" i="17"/>
  <c r="E27" i="17"/>
  <c r="D27" i="17" s="1"/>
  <c r="C27" i="17"/>
  <c r="L26" i="17"/>
  <c r="J26" i="17"/>
  <c r="H26" i="17"/>
  <c r="F26" i="17"/>
  <c r="D26" i="17"/>
  <c r="C26" i="17"/>
  <c r="M26" i="17" s="1"/>
  <c r="N25" i="17"/>
  <c r="M25" i="17"/>
  <c r="O25" i="17" s="1"/>
  <c r="L25" i="17"/>
  <c r="J25" i="17"/>
  <c r="H25" i="17"/>
  <c r="F25" i="17"/>
  <c r="D25" i="17"/>
  <c r="C25" i="17"/>
  <c r="M24" i="17"/>
  <c r="L24" i="17"/>
  <c r="J24" i="17"/>
  <c r="H24" i="17"/>
  <c r="F24" i="17"/>
  <c r="D24" i="17"/>
  <c r="C24" i="17"/>
  <c r="M23" i="17"/>
  <c r="N23" i="17" s="1"/>
  <c r="L23" i="17"/>
  <c r="J23" i="17"/>
  <c r="H23" i="17"/>
  <c r="F23" i="17"/>
  <c r="D23" i="17"/>
  <c r="C23" i="17"/>
  <c r="L22" i="17"/>
  <c r="J22" i="17"/>
  <c r="H22" i="17"/>
  <c r="F22" i="17"/>
  <c r="D22" i="17"/>
  <c r="C22" i="17"/>
  <c r="M22" i="17" s="1"/>
  <c r="N22" i="17" s="1"/>
  <c r="N21" i="17"/>
  <c r="M21" i="17"/>
  <c r="O21" i="17" s="1"/>
  <c r="P21" i="17" s="1"/>
  <c r="L21" i="17"/>
  <c r="J21" i="17"/>
  <c r="H21" i="17"/>
  <c r="F21" i="17"/>
  <c r="D21" i="17"/>
  <c r="C21" i="17"/>
  <c r="M20" i="17"/>
  <c r="L20" i="17"/>
  <c r="J20" i="17"/>
  <c r="H20" i="17"/>
  <c r="F20" i="17"/>
  <c r="D20" i="17"/>
  <c r="C20" i="17"/>
  <c r="M19" i="17"/>
  <c r="L19" i="17"/>
  <c r="J19" i="17"/>
  <c r="H19" i="17"/>
  <c r="F19" i="17"/>
  <c r="D19" i="17"/>
  <c r="C19" i="17"/>
  <c r="L18" i="17"/>
  <c r="J18" i="17"/>
  <c r="H18" i="17"/>
  <c r="F18" i="17"/>
  <c r="D18" i="17"/>
  <c r="C18" i="17"/>
  <c r="M18" i="17" s="1"/>
  <c r="N18" i="17" s="1"/>
  <c r="N17" i="17"/>
  <c r="M17" i="17"/>
  <c r="L17" i="17"/>
  <c r="J17" i="17"/>
  <c r="H17" i="17"/>
  <c r="F17" i="17"/>
  <c r="D17" i="17"/>
  <c r="C17" i="17"/>
  <c r="M16" i="17"/>
  <c r="L16" i="17"/>
  <c r="J16" i="17"/>
  <c r="H16" i="17"/>
  <c r="F16" i="17"/>
  <c r="D16" i="17"/>
  <c r="C16" i="17"/>
  <c r="L15" i="17"/>
  <c r="J15" i="17"/>
  <c r="H15" i="17"/>
  <c r="F15" i="17"/>
  <c r="D15" i="17"/>
  <c r="C15" i="17"/>
  <c r="M15" i="17" s="1"/>
  <c r="L14" i="17"/>
  <c r="J14" i="17"/>
  <c r="H14" i="17"/>
  <c r="F14" i="17"/>
  <c r="D14" i="17"/>
  <c r="C14" i="17"/>
  <c r="M14" i="17" s="1"/>
  <c r="N14" i="17" s="1"/>
  <c r="N13" i="17"/>
  <c r="M13" i="17"/>
  <c r="L13" i="17"/>
  <c r="J13" i="17"/>
  <c r="H13" i="17"/>
  <c r="F13" i="17"/>
  <c r="D13" i="17"/>
  <c r="C13" i="17"/>
  <c r="M12" i="17"/>
  <c r="L12" i="17"/>
  <c r="J12" i="17"/>
  <c r="H12" i="17"/>
  <c r="F12" i="17"/>
  <c r="D12" i="17"/>
  <c r="C12" i="17"/>
  <c r="L11" i="17"/>
  <c r="J11" i="17"/>
  <c r="H11" i="17"/>
  <c r="F11" i="17"/>
  <c r="D11" i="17"/>
  <c r="C11" i="17"/>
  <c r="M11" i="17" s="1"/>
  <c r="L10" i="17"/>
  <c r="J10" i="17"/>
  <c r="H10" i="17"/>
  <c r="F10" i="17"/>
  <c r="D10" i="17"/>
  <c r="C10" i="17"/>
  <c r="M10" i="17" s="1"/>
  <c r="N9" i="17"/>
  <c r="P9" i="17" s="1"/>
  <c r="M9" i="17"/>
  <c r="L9" i="17"/>
  <c r="J9" i="17"/>
  <c r="H9" i="17"/>
  <c r="F9" i="17"/>
  <c r="D9" i="17"/>
  <c r="C9" i="17"/>
  <c r="L8" i="17"/>
  <c r="J8" i="17"/>
  <c r="H8" i="17"/>
  <c r="F8" i="17"/>
  <c r="D8" i="17"/>
  <c r="C8" i="17"/>
  <c r="M8" i="17" s="1"/>
  <c r="N8" i="17" s="1"/>
  <c r="P8" i="17" s="1"/>
  <c r="M7" i="17"/>
  <c r="L7" i="17"/>
  <c r="J7" i="17"/>
  <c r="H7" i="17"/>
  <c r="F7" i="17"/>
  <c r="D7" i="17"/>
  <c r="C7" i="17"/>
  <c r="L6" i="17"/>
  <c r="J6" i="17"/>
  <c r="H6" i="17"/>
  <c r="F6" i="17"/>
  <c r="D6" i="17"/>
  <c r="C6" i="17"/>
  <c r="M6" i="17" s="1"/>
  <c r="N6" i="17" s="1"/>
  <c r="P6" i="17" s="1"/>
  <c r="L5" i="17"/>
  <c r="J5" i="17"/>
  <c r="H5" i="17"/>
  <c r="F5" i="17"/>
  <c r="D5" i="17"/>
  <c r="C5" i="17"/>
  <c r="M5" i="17" s="1"/>
  <c r="N5" i="17" s="1"/>
  <c r="P5" i="17" s="1"/>
  <c r="L4" i="17"/>
  <c r="J4" i="17"/>
  <c r="H4" i="17"/>
  <c r="F4" i="17"/>
  <c r="D4" i="17"/>
  <c r="C4" i="17"/>
  <c r="M4" i="17" s="1"/>
  <c r="N4" i="17" s="1"/>
  <c r="P4" i="17" s="1"/>
  <c r="P3" i="17"/>
  <c r="D3" i="17"/>
  <c r="C3" i="17"/>
  <c r="M3" i="17" s="1"/>
  <c r="N3" i="17" s="1"/>
  <c r="Q10" i="16"/>
  <c r="M10" i="16"/>
  <c r="J10" i="16"/>
  <c r="H10" i="16"/>
  <c r="F10" i="16"/>
  <c r="D10" i="16"/>
  <c r="T9" i="16"/>
  <c r="Q9" i="16"/>
  <c r="N9" i="16"/>
  <c r="M9" i="16"/>
  <c r="J9" i="16"/>
  <c r="H9" i="16"/>
  <c r="F9" i="16"/>
  <c r="D9" i="16"/>
  <c r="B9" i="16"/>
  <c r="Q8" i="16"/>
  <c r="N8" i="16"/>
  <c r="M8" i="16"/>
  <c r="T8" i="16" s="1"/>
  <c r="J8" i="16"/>
  <c r="H8" i="16"/>
  <c r="F8" i="16"/>
  <c r="D8" i="16"/>
  <c r="B8" i="16"/>
  <c r="R8" i="16" s="1"/>
  <c r="T7" i="16"/>
  <c r="R7" i="16"/>
  <c r="Q7" i="16"/>
  <c r="M7" i="16"/>
  <c r="J7" i="16"/>
  <c r="H7" i="16"/>
  <c r="F7" i="16"/>
  <c r="D7" i="16"/>
  <c r="T6" i="16"/>
  <c r="Q6" i="16"/>
  <c r="M6" i="16"/>
  <c r="J6" i="16"/>
  <c r="H6" i="16"/>
  <c r="F6" i="16"/>
  <c r="D6" i="16"/>
  <c r="P5" i="16"/>
  <c r="N5" i="16"/>
  <c r="M5" i="16"/>
  <c r="O5" i="16" s="1"/>
  <c r="K5" i="16"/>
  <c r="B5" i="16"/>
  <c r="P4" i="16"/>
  <c r="M4" i="16"/>
  <c r="O4" i="16" s="1"/>
  <c r="K4" i="16"/>
  <c r="B4" i="16"/>
  <c r="T3" i="16"/>
  <c r="S3" i="16"/>
  <c r="R3" i="16"/>
  <c r="M3" i="16"/>
  <c r="N6" i="16" s="1"/>
  <c r="K3" i="16"/>
  <c r="K7" i="16" s="1"/>
  <c r="S7" i="16" s="1"/>
  <c r="B3" i="16"/>
  <c r="K1043" i="15"/>
  <c r="K1042" i="15"/>
  <c r="K1041" i="15"/>
  <c r="K1040" i="15"/>
  <c r="K1039" i="15"/>
  <c r="K1038" i="15"/>
  <c r="K1037" i="15"/>
  <c r="K1036" i="15"/>
  <c r="K1035" i="15"/>
  <c r="K1034" i="15"/>
  <c r="K1033" i="15"/>
  <c r="K1032" i="15"/>
  <c r="K1031" i="15"/>
  <c r="K1030" i="15"/>
  <c r="K1029" i="15"/>
  <c r="K1028" i="15"/>
  <c r="K1027" i="15"/>
  <c r="K1026" i="15"/>
  <c r="K1025" i="15"/>
  <c r="K1024" i="15"/>
  <c r="K1023" i="15"/>
  <c r="K1022" i="15"/>
  <c r="K1021" i="15"/>
  <c r="K1020" i="15"/>
  <c r="K1019" i="15"/>
  <c r="K1018" i="15"/>
  <c r="K1017" i="15"/>
  <c r="K1016" i="15"/>
  <c r="K1015" i="15"/>
  <c r="K1014" i="15"/>
  <c r="K1013" i="15"/>
  <c r="K1012" i="15"/>
  <c r="K1011" i="15"/>
  <c r="L1011" i="15" s="1"/>
  <c r="L1012" i="15" s="1"/>
  <c r="L1013" i="15" s="1"/>
  <c r="L1014" i="15" s="1"/>
  <c r="L1015" i="15" s="1"/>
  <c r="D1011" i="15"/>
  <c r="D1012" i="15" s="1"/>
  <c r="D1013" i="15" s="1"/>
  <c r="D1014" i="15" s="1"/>
  <c r="D1015" i="15" s="1"/>
  <c r="D1016" i="15" s="1"/>
  <c r="D1017" i="15" s="1"/>
  <c r="D1018" i="15" s="1"/>
  <c r="D1019" i="15" s="1"/>
  <c r="D1020" i="15" s="1"/>
  <c r="D1021" i="15" s="1"/>
  <c r="D1022" i="15" s="1"/>
  <c r="D1023" i="15" s="1"/>
  <c r="D1024" i="15" s="1"/>
  <c r="D1025" i="15" s="1"/>
  <c r="D1026" i="15" s="1"/>
  <c r="D1027" i="15" s="1"/>
  <c r="D1028" i="15" s="1"/>
  <c r="D1029" i="15" s="1"/>
  <c r="D1030" i="15" s="1"/>
  <c r="D1031" i="15" s="1"/>
  <c r="D1032" i="15" s="1"/>
  <c r="D1033" i="15" s="1"/>
  <c r="D1034" i="15" s="1"/>
  <c r="D1035" i="15" s="1"/>
  <c r="D1036" i="15" s="1"/>
  <c r="D1037" i="15" s="1"/>
  <c r="D1038" i="15" s="1"/>
  <c r="D1039" i="15" s="1"/>
  <c r="D1040" i="15" s="1"/>
  <c r="D1041" i="15" s="1"/>
  <c r="D1042" i="15" s="1"/>
  <c r="D1043" i="15" s="1"/>
  <c r="K1010" i="15"/>
  <c r="L1010" i="15" s="1"/>
  <c r="K1009" i="15"/>
  <c r="K1008" i="15"/>
  <c r="K1007" i="15"/>
  <c r="K1006" i="15"/>
  <c r="K1005" i="15"/>
  <c r="K1004" i="15"/>
  <c r="K1003" i="15"/>
  <c r="K1002" i="15"/>
  <c r="K1001" i="15"/>
  <c r="K1000" i="15"/>
  <c r="K999" i="15"/>
  <c r="K998" i="15"/>
  <c r="K997" i="15"/>
  <c r="K996" i="15"/>
  <c r="K995" i="15"/>
  <c r="K994" i="15"/>
  <c r="K993" i="15"/>
  <c r="K992" i="15"/>
  <c r="K991" i="15"/>
  <c r="K990" i="15"/>
  <c r="K989" i="15"/>
  <c r="D989" i="15"/>
  <c r="D990" i="15" s="1"/>
  <c r="D991" i="15" s="1"/>
  <c r="D992" i="15" s="1"/>
  <c r="D993" i="15" s="1"/>
  <c r="D994" i="15" s="1"/>
  <c r="D995" i="15" s="1"/>
  <c r="D996" i="15" s="1"/>
  <c r="D997" i="15" s="1"/>
  <c r="D998" i="15" s="1"/>
  <c r="D999" i="15" s="1"/>
  <c r="D1000" i="15" s="1"/>
  <c r="D1001" i="15" s="1"/>
  <c r="D1002" i="15" s="1"/>
  <c r="D1003" i="15" s="1"/>
  <c r="D1004" i="15" s="1"/>
  <c r="D1005" i="15" s="1"/>
  <c r="D1006" i="15" s="1"/>
  <c r="D1007" i="15" s="1"/>
  <c r="D1008" i="15" s="1"/>
  <c r="D1009" i="15" s="1"/>
  <c r="K988" i="15"/>
  <c r="D988" i="15"/>
  <c r="L987" i="15"/>
  <c r="L988" i="15" s="1"/>
  <c r="K987" i="15"/>
  <c r="K986" i="15"/>
  <c r="K985" i="15"/>
  <c r="K984" i="15"/>
  <c r="K983" i="15"/>
  <c r="K982" i="15"/>
  <c r="K981" i="15"/>
  <c r="K980" i="15"/>
  <c r="K979" i="15"/>
  <c r="K978" i="15"/>
  <c r="K977" i="15"/>
  <c r="K976" i="15"/>
  <c r="K975" i="15"/>
  <c r="K974" i="15"/>
  <c r="K973" i="15"/>
  <c r="K972" i="15"/>
  <c r="K971" i="15"/>
  <c r="K970" i="15"/>
  <c r="K969" i="15"/>
  <c r="K968" i="15"/>
  <c r="K967" i="15"/>
  <c r="K966" i="15"/>
  <c r="D966" i="15"/>
  <c r="D967" i="15" s="1"/>
  <c r="D968" i="15" s="1"/>
  <c r="D969" i="15" s="1"/>
  <c r="D970" i="15" s="1"/>
  <c r="D971" i="15" s="1"/>
  <c r="D972" i="15" s="1"/>
  <c r="D973" i="15" s="1"/>
  <c r="D974" i="15" s="1"/>
  <c r="D975" i="15" s="1"/>
  <c r="D976" i="15" s="1"/>
  <c r="D977" i="15" s="1"/>
  <c r="D978" i="15" s="1"/>
  <c r="D979" i="15" s="1"/>
  <c r="D980" i="15" s="1"/>
  <c r="D981" i="15" s="1"/>
  <c r="D982" i="15" s="1"/>
  <c r="D983" i="15" s="1"/>
  <c r="D984" i="15" s="1"/>
  <c r="D985" i="15" s="1"/>
  <c r="D986" i="15" s="1"/>
  <c r="K965" i="15"/>
  <c r="D965" i="15"/>
  <c r="L964" i="15"/>
  <c r="L965" i="15" s="1"/>
  <c r="K964" i="15"/>
  <c r="K963" i="15"/>
  <c r="K962" i="15"/>
  <c r="K961" i="15"/>
  <c r="K960" i="15"/>
  <c r="K959" i="15"/>
  <c r="K958" i="15"/>
  <c r="K957" i="15"/>
  <c r="K956" i="15"/>
  <c r="K955" i="15"/>
  <c r="K954" i="15"/>
  <c r="K953" i="15"/>
  <c r="K952" i="15"/>
  <c r="K951" i="15"/>
  <c r="K950" i="15"/>
  <c r="D950" i="15"/>
  <c r="D951" i="15" s="1"/>
  <c r="D952" i="15" s="1"/>
  <c r="D953" i="15" s="1"/>
  <c r="D954" i="15" s="1"/>
  <c r="D955" i="15" s="1"/>
  <c r="D956" i="15" s="1"/>
  <c r="D957" i="15" s="1"/>
  <c r="D958" i="15" s="1"/>
  <c r="D959" i="15" s="1"/>
  <c r="D960" i="15" s="1"/>
  <c r="D961" i="15" s="1"/>
  <c r="D962" i="15" s="1"/>
  <c r="D963" i="15" s="1"/>
  <c r="K949" i="15"/>
  <c r="K948" i="15"/>
  <c r="K947" i="15"/>
  <c r="K946" i="15"/>
  <c r="K945" i="15"/>
  <c r="K944" i="15"/>
  <c r="L944" i="15" s="1"/>
  <c r="D944" i="15"/>
  <c r="D945" i="15" s="1"/>
  <c r="D946" i="15" s="1"/>
  <c r="D947" i="15" s="1"/>
  <c r="D948" i="15" s="1"/>
  <c r="D949" i="15" s="1"/>
  <c r="K943" i="15"/>
  <c r="L943" i="15" s="1"/>
  <c r="K942" i="15"/>
  <c r="K941" i="15"/>
  <c r="K940" i="15"/>
  <c r="K939" i="15"/>
  <c r="K938" i="15"/>
  <c r="K937" i="15"/>
  <c r="K936" i="15"/>
  <c r="K935" i="15"/>
  <c r="K934" i="15"/>
  <c r="K933" i="15"/>
  <c r="K932" i="15"/>
  <c r="K931" i="15"/>
  <c r="K930" i="15"/>
  <c r="K929" i="15"/>
  <c r="K928" i="15"/>
  <c r="K927" i="15"/>
  <c r="K926" i="15"/>
  <c r="K925" i="15"/>
  <c r="K924" i="15"/>
  <c r="K923" i="15"/>
  <c r="K922" i="15"/>
  <c r="K921" i="15"/>
  <c r="K920" i="15"/>
  <c r="K919" i="15"/>
  <c r="K918" i="15"/>
  <c r="K917" i="15"/>
  <c r="K916" i="15"/>
  <c r="K915" i="15"/>
  <c r="K914" i="15"/>
  <c r="K913" i="15"/>
  <c r="K912" i="15"/>
  <c r="K911" i="15"/>
  <c r="L910" i="15"/>
  <c r="L911" i="15" s="1"/>
  <c r="L912" i="15" s="1"/>
  <c r="L913" i="15" s="1"/>
  <c r="L914" i="15" s="1"/>
  <c r="L915" i="15" s="1"/>
  <c r="L916" i="15" s="1"/>
  <c r="L917" i="15" s="1"/>
  <c r="L918" i="15" s="1"/>
  <c r="L919" i="15" s="1"/>
  <c r="L920" i="15" s="1"/>
  <c r="L921" i="15" s="1"/>
  <c r="L922" i="15" s="1"/>
  <c r="L923" i="15" s="1"/>
  <c r="L924" i="15" s="1"/>
  <c r="L925" i="15" s="1"/>
  <c r="L926" i="15" s="1"/>
  <c r="L927" i="15" s="1"/>
  <c r="L928" i="15" s="1"/>
  <c r="L929" i="15" s="1"/>
  <c r="L930" i="15" s="1"/>
  <c r="L931" i="15" s="1"/>
  <c r="L932" i="15" s="1"/>
  <c r="L933" i="15" s="1"/>
  <c r="L934" i="15" s="1"/>
  <c r="L935" i="15" s="1"/>
  <c r="L936" i="15" s="1"/>
  <c r="L937" i="15" s="1"/>
  <c r="L938" i="15" s="1"/>
  <c r="L939" i="15" s="1"/>
  <c r="L940" i="15" s="1"/>
  <c r="L941" i="15" s="1"/>
  <c r="L942" i="15" s="1"/>
  <c r="K910" i="15"/>
  <c r="K909" i="15"/>
  <c r="D909" i="15"/>
  <c r="D910" i="15" s="1"/>
  <c r="D911" i="15" s="1"/>
  <c r="D912" i="15" s="1"/>
  <c r="D913" i="15" s="1"/>
  <c r="D914" i="15" s="1"/>
  <c r="D915" i="15" s="1"/>
  <c r="D916" i="15" s="1"/>
  <c r="D917" i="15" s="1"/>
  <c r="D918" i="15" s="1"/>
  <c r="D919" i="15" s="1"/>
  <c r="D920" i="15" s="1"/>
  <c r="D921" i="15" s="1"/>
  <c r="D922" i="15" s="1"/>
  <c r="D923" i="15" s="1"/>
  <c r="D924" i="15" s="1"/>
  <c r="D925" i="15" s="1"/>
  <c r="D926" i="15" s="1"/>
  <c r="D927" i="15" s="1"/>
  <c r="D928" i="15" s="1"/>
  <c r="D929" i="15" s="1"/>
  <c r="D930" i="15" s="1"/>
  <c r="D931" i="15" s="1"/>
  <c r="D932" i="15" s="1"/>
  <c r="D933" i="15" s="1"/>
  <c r="D934" i="15" s="1"/>
  <c r="D935" i="15" s="1"/>
  <c r="D936" i="15" s="1"/>
  <c r="D937" i="15" s="1"/>
  <c r="D938" i="15" s="1"/>
  <c r="D939" i="15" s="1"/>
  <c r="D940" i="15" s="1"/>
  <c r="D941" i="15" s="1"/>
  <c r="D942" i="15" s="1"/>
  <c r="K908" i="15"/>
  <c r="L908" i="15" s="1"/>
  <c r="L909" i="15" s="1"/>
  <c r="K907" i="15"/>
  <c r="L907" i="15" s="1"/>
  <c r="E907" i="15"/>
  <c r="D907" i="15"/>
  <c r="K906" i="15"/>
  <c r="K905" i="15"/>
  <c r="K904" i="15"/>
  <c r="K903" i="15"/>
  <c r="K902" i="15"/>
  <c r="K901" i="15"/>
  <c r="K900" i="15"/>
  <c r="K899" i="15"/>
  <c r="K898" i="15"/>
  <c r="K897" i="15"/>
  <c r="D897" i="15"/>
  <c r="D898" i="15" s="1"/>
  <c r="D899" i="15" s="1"/>
  <c r="D900" i="15" s="1"/>
  <c r="D901" i="15" s="1"/>
  <c r="D902" i="15" s="1"/>
  <c r="D903" i="15" s="1"/>
  <c r="D904" i="15" s="1"/>
  <c r="D905" i="15" s="1"/>
  <c r="K896" i="15"/>
  <c r="L896" i="15" s="1"/>
  <c r="L897" i="15" s="1"/>
  <c r="K895" i="15"/>
  <c r="E895" i="15"/>
  <c r="D895" i="15"/>
  <c r="K894" i="15"/>
  <c r="L894" i="15" s="1"/>
  <c r="L893" i="15"/>
  <c r="K893" i="15"/>
  <c r="E893" i="15"/>
  <c r="L892" i="15"/>
  <c r="K892" i="15"/>
  <c r="K891" i="15"/>
  <c r="K890" i="15"/>
  <c r="L890" i="15" s="1"/>
  <c r="L891" i="15" s="1"/>
  <c r="E889" i="15"/>
  <c r="K889" i="15" s="1"/>
  <c r="L888" i="15"/>
  <c r="K888" i="15"/>
  <c r="E887" i="15"/>
  <c r="K887" i="15" s="1"/>
  <c r="L887" i="15" s="1"/>
  <c r="D887" i="15"/>
  <c r="K886" i="15"/>
  <c r="L886" i="15" s="1"/>
  <c r="K885" i="15"/>
  <c r="K884" i="15"/>
  <c r="K883" i="15"/>
  <c r="K882" i="15"/>
  <c r="K881" i="15"/>
  <c r="K880" i="15"/>
  <c r="K879" i="15"/>
  <c r="K878" i="15"/>
  <c r="K877" i="15"/>
  <c r="K876" i="15"/>
  <c r="L876" i="15" s="1"/>
  <c r="K875" i="15"/>
  <c r="L875" i="15" s="1"/>
  <c r="D875" i="15"/>
  <c r="D876" i="15" s="1"/>
  <c r="D877" i="15" s="1"/>
  <c r="D878" i="15" s="1"/>
  <c r="D879" i="15" s="1"/>
  <c r="D880" i="15" s="1"/>
  <c r="D881" i="15" s="1"/>
  <c r="D882" i="15" s="1"/>
  <c r="D883" i="15" s="1"/>
  <c r="D884" i="15" s="1"/>
  <c r="D885" i="15" s="1"/>
  <c r="L874" i="15"/>
  <c r="K874" i="15"/>
  <c r="E873" i="15"/>
  <c r="K873" i="15" s="1"/>
  <c r="E872" i="15"/>
  <c r="K872" i="15" s="1"/>
  <c r="E871" i="15"/>
  <c r="K871" i="15" s="1"/>
  <c r="K870" i="15"/>
  <c r="E870" i="15"/>
  <c r="K869" i="15"/>
  <c r="E869" i="15"/>
  <c r="K868" i="15"/>
  <c r="E868" i="15"/>
  <c r="D868" i="15"/>
  <c r="D869" i="15" s="1"/>
  <c r="D870" i="15" s="1"/>
  <c r="D871" i="15" s="1"/>
  <c r="D872" i="15" s="1"/>
  <c r="D873" i="15" s="1"/>
  <c r="E867" i="15"/>
  <c r="K867" i="15" s="1"/>
  <c r="L867" i="15" s="1"/>
  <c r="D867" i="15"/>
  <c r="K866" i="15"/>
  <c r="L866" i="15" s="1"/>
  <c r="E866" i="15"/>
  <c r="D866" i="15"/>
  <c r="K865" i="15"/>
  <c r="L865" i="15" s="1"/>
  <c r="K864" i="15"/>
  <c r="K863" i="15"/>
  <c r="K862" i="15"/>
  <c r="D862" i="15"/>
  <c r="D863" i="15" s="1"/>
  <c r="D864" i="15" s="1"/>
  <c r="K861" i="15"/>
  <c r="K860" i="15"/>
  <c r="D860" i="15"/>
  <c r="D861" i="15" s="1"/>
  <c r="K859" i="15"/>
  <c r="L858" i="15"/>
  <c r="L859" i="15" s="1"/>
  <c r="L860" i="15" s="1"/>
  <c r="L861" i="15" s="1"/>
  <c r="L862" i="15" s="1"/>
  <c r="L863" i="15" s="1"/>
  <c r="L864" i="15" s="1"/>
  <c r="K858" i="15"/>
  <c r="D858" i="15"/>
  <c r="D859" i="15" s="1"/>
  <c r="L857" i="15"/>
  <c r="K857" i="15"/>
  <c r="K856" i="15"/>
  <c r="E856" i="15"/>
  <c r="E855" i="15"/>
  <c r="K855" i="15" s="1"/>
  <c r="K854" i="15"/>
  <c r="E854" i="15"/>
  <c r="D854" i="15"/>
  <c r="D855" i="15" s="1"/>
  <c r="D856" i="15" s="1"/>
  <c r="E853" i="15"/>
  <c r="K853" i="15" s="1"/>
  <c r="L853" i="15" s="1"/>
  <c r="L854" i="15" s="1"/>
  <c r="K852" i="15"/>
  <c r="E852" i="15"/>
  <c r="D852" i="15"/>
  <c r="D853" i="15" s="1"/>
  <c r="E851" i="15"/>
  <c r="K851" i="15" s="1"/>
  <c r="L851" i="15" s="1"/>
  <c r="L852" i="15" s="1"/>
  <c r="D851" i="15"/>
  <c r="L850" i="15"/>
  <c r="K850" i="15"/>
  <c r="E850" i="15"/>
  <c r="K849" i="15"/>
  <c r="E849" i="15"/>
  <c r="K848" i="15"/>
  <c r="E848" i="15"/>
  <c r="K847" i="15"/>
  <c r="E847" i="15"/>
  <c r="E846" i="15"/>
  <c r="K846" i="15" s="1"/>
  <c r="E845" i="15"/>
  <c r="K845" i="15" s="1"/>
  <c r="K844" i="15"/>
  <c r="E844" i="15"/>
  <c r="E843" i="15"/>
  <c r="K843" i="15" s="1"/>
  <c r="D843" i="15"/>
  <c r="D844" i="15" s="1"/>
  <c r="D845" i="15" s="1"/>
  <c r="D846" i="15" s="1"/>
  <c r="D847" i="15" s="1"/>
  <c r="D848" i="15" s="1"/>
  <c r="D849" i="15" s="1"/>
  <c r="E842" i="15"/>
  <c r="K842" i="15" s="1"/>
  <c r="D842" i="15"/>
  <c r="E841" i="15"/>
  <c r="K841" i="15" s="1"/>
  <c r="L841" i="15" s="1"/>
  <c r="K840" i="15"/>
  <c r="E840" i="15"/>
  <c r="E839" i="15"/>
  <c r="K839" i="15" s="1"/>
  <c r="K838" i="15"/>
  <c r="E838" i="15"/>
  <c r="K837" i="15"/>
  <c r="E837" i="15"/>
  <c r="E836" i="15"/>
  <c r="K836" i="15" s="1"/>
  <c r="E835" i="15"/>
  <c r="K835" i="15" s="1"/>
  <c r="E834" i="15"/>
  <c r="K834" i="15" s="1"/>
  <c r="K833" i="15"/>
  <c r="E833" i="15"/>
  <c r="K832" i="15"/>
  <c r="E832" i="15"/>
  <c r="K831" i="15"/>
  <c r="E831" i="15"/>
  <c r="E830" i="15"/>
  <c r="K830" i="15" s="1"/>
  <c r="D830" i="15"/>
  <c r="D831" i="15" s="1"/>
  <c r="D832" i="15" s="1"/>
  <c r="D833" i="15" s="1"/>
  <c r="D834" i="15" s="1"/>
  <c r="D835" i="15" s="1"/>
  <c r="D836" i="15" s="1"/>
  <c r="D837" i="15" s="1"/>
  <c r="D838" i="15" s="1"/>
  <c r="D839" i="15" s="1"/>
  <c r="D840" i="15" s="1"/>
  <c r="E829" i="15"/>
  <c r="K829" i="15" s="1"/>
  <c r="L829" i="15" s="1"/>
  <c r="K828" i="15"/>
  <c r="D828" i="15"/>
  <c r="K827" i="15"/>
  <c r="L827" i="15" s="1"/>
  <c r="L828" i="15" s="1"/>
  <c r="D827" i="15"/>
  <c r="K826" i="15"/>
  <c r="L826" i="15" s="1"/>
  <c r="K825" i="15"/>
  <c r="K824" i="15"/>
  <c r="K823" i="15"/>
  <c r="L823" i="15" s="1"/>
  <c r="D823" i="15"/>
  <c r="D824" i="15" s="1"/>
  <c r="D825" i="15" s="1"/>
  <c r="L822" i="15"/>
  <c r="K822" i="15"/>
  <c r="K821" i="15"/>
  <c r="K820" i="15"/>
  <c r="K819" i="15"/>
  <c r="K818" i="15"/>
  <c r="K817" i="15"/>
  <c r="K816" i="15"/>
  <c r="K815" i="15"/>
  <c r="K814" i="15"/>
  <c r="K813" i="15"/>
  <c r="K812" i="15"/>
  <c r="K811" i="15"/>
  <c r="K810" i="15"/>
  <c r="K809" i="15"/>
  <c r="K808" i="15"/>
  <c r="K807" i="15"/>
  <c r="K806" i="15"/>
  <c r="K805" i="15"/>
  <c r="K804" i="15"/>
  <c r="K803" i="15"/>
  <c r="K802" i="15"/>
  <c r="K801" i="15"/>
  <c r="K800" i="15"/>
  <c r="K799" i="15"/>
  <c r="K798" i="15"/>
  <c r="K797" i="15"/>
  <c r="K796" i="15"/>
  <c r="K795" i="15"/>
  <c r="K794" i="15"/>
  <c r="K793" i="15"/>
  <c r="K792" i="15"/>
  <c r="D792" i="15"/>
  <c r="D793" i="15" s="1"/>
  <c r="D794" i="15" s="1"/>
  <c r="D795" i="15" s="1"/>
  <c r="D796" i="15" s="1"/>
  <c r="D797" i="15" s="1"/>
  <c r="D798" i="15" s="1"/>
  <c r="D799" i="15" s="1"/>
  <c r="D800" i="15" s="1"/>
  <c r="D801" i="15" s="1"/>
  <c r="D802" i="15" s="1"/>
  <c r="D803" i="15" s="1"/>
  <c r="D804" i="15" s="1"/>
  <c r="D805" i="15" s="1"/>
  <c r="D806" i="15" s="1"/>
  <c r="D807" i="15" s="1"/>
  <c r="D808" i="15" s="1"/>
  <c r="D809" i="15" s="1"/>
  <c r="D810" i="15" s="1"/>
  <c r="D811" i="15" s="1"/>
  <c r="D812" i="15" s="1"/>
  <c r="D813" i="15" s="1"/>
  <c r="D814" i="15" s="1"/>
  <c r="D815" i="15" s="1"/>
  <c r="D816" i="15" s="1"/>
  <c r="D817" i="15" s="1"/>
  <c r="D818" i="15" s="1"/>
  <c r="D819" i="15" s="1"/>
  <c r="D820" i="15" s="1"/>
  <c r="D821" i="15" s="1"/>
  <c r="K791" i="15"/>
  <c r="D791" i="15"/>
  <c r="K790" i="15"/>
  <c r="D790" i="15"/>
  <c r="K789" i="15"/>
  <c r="D789" i="15"/>
  <c r="K788" i="15"/>
  <c r="L788" i="15" s="1"/>
  <c r="L789" i="15" s="1"/>
  <c r="L790" i="15" s="1"/>
  <c r="L787" i="15"/>
  <c r="K787" i="15"/>
  <c r="E787" i="15"/>
  <c r="D787" i="15"/>
  <c r="E786" i="15"/>
  <c r="K786" i="15" s="1"/>
  <c r="L786" i="15" s="1"/>
  <c r="E785" i="15"/>
  <c r="K785" i="15" s="1"/>
  <c r="K784" i="15"/>
  <c r="E784" i="15"/>
  <c r="E783" i="15"/>
  <c r="K783" i="15" s="1"/>
  <c r="K782" i="15"/>
  <c r="E782" i="15"/>
  <c r="E781" i="15"/>
  <c r="K781" i="15" s="1"/>
  <c r="K780" i="15"/>
  <c r="L780" i="15" s="1"/>
  <c r="E780" i="15"/>
  <c r="D780" i="15"/>
  <c r="E779" i="15"/>
  <c r="K779" i="15" s="1"/>
  <c r="L779" i="15" s="1"/>
  <c r="K778" i="15"/>
  <c r="L778" i="15" s="1"/>
  <c r="E778" i="15"/>
  <c r="D778" i="15"/>
  <c r="D779" i="15" s="1"/>
  <c r="K777" i="15"/>
  <c r="K776" i="15"/>
  <c r="K775" i="15"/>
  <c r="K774" i="15"/>
  <c r="K773" i="15"/>
  <c r="K772" i="15"/>
  <c r="K771" i="15"/>
  <c r="K770" i="15"/>
  <c r="K769" i="15"/>
  <c r="K768" i="15"/>
  <c r="K767" i="15"/>
  <c r="D767" i="15"/>
  <c r="D768" i="15" s="1"/>
  <c r="D769" i="15" s="1"/>
  <c r="D770" i="15" s="1"/>
  <c r="D771" i="15" s="1"/>
  <c r="D772" i="15" s="1"/>
  <c r="D773" i="15" s="1"/>
  <c r="D774" i="15" s="1"/>
  <c r="D775" i="15" s="1"/>
  <c r="D776" i="15" s="1"/>
  <c r="D777" i="15" s="1"/>
  <c r="K766" i="15"/>
  <c r="L766" i="15" s="1"/>
  <c r="K765" i="15"/>
  <c r="L765" i="15" s="1"/>
  <c r="K764" i="15"/>
  <c r="D764" i="15"/>
  <c r="D765" i="15" s="1"/>
  <c r="D766" i="15" s="1"/>
  <c r="K763" i="15"/>
  <c r="L763" i="15" s="1"/>
  <c r="L764" i="15" s="1"/>
  <c r="D763" i="15"/>
  <c r="L762" i="15"/>
  <c r="K762" i="15"/>
  <c r="E761" i="15"/>
  <c r="K761" i="15" s="1"/>
  <c r="L761" i="15" s="1"/>
  <c r="K760" i="15"/>
  <c r="L760" i="15" s="1"/>
  <c r="E760" i="15"/>
  <c r="E759" i="15"/>
  <c r="K759" i="15" s="1"/>
  <c r="K758" i="15"/>
  <c r="K757" i="15"/>
  <c r="K756" i="15"/>
  <c r="K755" i="15"/>
  <c r="L755" i="15" s="1"/>
  <c r="L754" i="15"/>
  <c r="K754" i="15"/>
  <c r="D754" i="15"/>
  <c r="D755" i="15" s="1"/>
  <c r="D756" i="15" s="1"/>
  <c r="D757" i="15" s="1"/>
  <c r="D758" i="15" s="1"/>
  <c r="D759" i="15" s="1"/>
  <c r="L753" i="15"/>
  <c r="K753" i="15"/>
  <c r="K752" i="15"/>
  <c r="E752" i="15"/>
  <c r="E751" i="15"/>
  <c r="K751" i="15" s="1"/>
  <c r="E750" i="15"/>
  <c r="K750" i="15" s="1"/>
  <c r="K749" i="15"/>
  <c r="E749" i="15"/>
  <c r="K748" i="15"/>
  <c r="E748" i="15"/>
  <c r="E747" i="15"/>
  <c r="K747" i="15" s="1"/>
  <c r="K746" i="15"/>
  <c r="E746" i="15"/>
  <c r="E745" i="15"/>
  <c r="K745" i="15" s="1"/>
  <c r="K744" i="15"/>
  <c r="E744" i="15"/>
  <c r="E743" i="15"/>
  <c r="K743" i="15" s="1"/>
  <c r="K742" i="15"/>
  <c r="E742" i="15"/>
  <c r="E741" i="15"/>
  <c r="K741" i="15" s="1"/>
  <c r="K740" i="15"/>
  <c r="E740" i="15"/>
  <c r="E739" i="15"/>
  <c r="K739" i="15" s="1"/>
  <c r="K738" i="15"/>
  <c r="E738" i="15"/>
  <c r="E737" i="15"/>
  <c r="K737" i="15" s="1"/>
  <c r="K736" i="15"/>
  <c r="E736" i="15"/>
  <c r="K735" i="15"/>
  <c r="E735" i="15"/>
  <c r="K734" i="15"/>
  <c r="E734" i="15"/>
  <c r="E733" i="15"/>
  <c r="K733" i="15" s="1"/>
  <c r="K732" i="15"/>
  <c r="E732" i="15"/>
  <c r="K731" i="15"/>
  <c r="E731" i="15"/>
  <c r="K730" i="15"/>
  <c r="E730" i="15"/>
  <c r="E729" i="15"/>
  <c r="K729" i="15" s="1"/>
  <c r="K728" i="15"/>
  <c r="E728" i="15"/>
  <c r="E727" i="15"/>
  <c r="K727" i="15" s="1"/>
  <c r="K726" i="15"/>
  <c r="E726" i="15"/>
  <c r="E725" i="15"/>
  <c r="K725" i="15" s="1"/>
  <c r="K724" i="15"/>
  <c r="E724" i="15"/>
  <c r="E723" i="15"/>
  <c r="K723" i="15" s="1"/>
  <c r="K722" i="15"/>
  <c r="E722" i="15"/>
  <c r="K721" i="15"/>
  <c r="E721" i="15"/>
  <c r="D721" i="15"/>
  <c r="D722" i="15" s="1"/>
  <c r="D723" i="15" s="1"/>
  <c r="D724" i="15" s="1"/>
  <c r="D725" i="15" s="1"/>
  <c r="D726" i="15" s="1"/>
  <c r="D727" i="15" s="1"/>
  <c r="D728" i="15" s="1"/>
  <c r="D729" i="15" s="1"/>
  <c r="D730" i="15" s="1"/>
  <c r="D731" i="15" s="1"/>
  <c r="D732" i="15" s="1"/>
  <c r="D733" i="15" s="1"/>
  <c r="D734" i="15" s="1"/>
  <c r="D735" i="15" s="1"/>
  <c r="D736" i="15" s="1"/>
  <c r="D737" i="15" s="1"/>
  <c r="D738" i="15" s="1"/>
  <c r="D739" i="15" s="1"/>
  <c r="D740" i="15" s="1"/>
  <c r="D741" i="15" s="1"/>
  <c r="D742" i="15" s="1"/>
  <c r="D743" i="15" s="1"/>
  <c r="D744" i="15" s="1"/>
  <c r="D745" i="15" s="1"/>
  <c r="D746" i="15" s="1"/>
  <c r="D747" i="15" s="1"/>
  <c r="D748" i="15" s="1"/>
  <c r="D749" i="15" s="1"/>
  <c r="D750" i="15" s="1"/>
  <c r="D751" i="15" s="1"/>
  <c r="D752" i="15" s="1"/>
  <c r="K720" i="15"/>
  <c r="E720" i="15"/>
  <c r="E719" i="15"/>
  <c r="K719" i="15" s="1"/>
  <c r="L719" i="15" s="1"/>
  <c r="D719" i="15"/>
  <c r="D720" i="15" s="1"/>
  <c r="L718" i="15"/>
  <c r="K718" i="15"/>
  <c r="E718" i="15"/>
  <c r="K717" i="15"/>
  <c r="K716" i="15"/>
  <c r="K715" i="15"/>
  <c r="K714" i="15"/>
  <c r="K713" i="15"/>
  <c r="K712" i="15"/>
  <c r="K711" i="15"/>
  <c r="K710" i="15"/>
  <c r="K709" i="15"/>
  <c r="K708" i="15"/>
  <c r="K707" i="15"/>
  <c r="K706" i="15"/>
  <c r="K705" i="15"/>
  <c r="K704" i="15"/>
  <c r="K703" i="15"/>
  <c r="K702" i="15"/>
  <c r="K701" i="15"/>
  <c r="K700" i="15"/>
  <c r="K699" i="15"/>
  <c r="K698" i="15"/>
  <c r="K697" i="15"/>
  <c r="K696" i="15"/>
  <c r="K695" i="15"/>
  <c r="K694" i="15"/>
  <c r="K693" i="15"/>
  <c r="K692" i="15"/>
  <c r="D692" i="15"/>
  <c r="D693" i="15" s="1"/>
  <c r="D694" i="15" s="1"/>
  <c r="D695" i="15" s="1"/>
  <c r="D696" i="15" s="1"/>
  <c r="D697" i="15" s="1"/>
  <c r="D698" i="15" s="1"/>
  <c r="D699" i="15" s="1"/>
  <c r="D700" i="15" s="1"/>
  <c r="D701" i="15" s="1"/>
  <c r="D702" i="15" s="1"/>
  <c r="D703" i="15" s="1"/>
  <c r="D704" i="15" s="1"/>
  <c r="D705" i="15" s="1"/>
  <c r="D706" i="15" s="1"/>
  <c r="D707" i="15" s="1"/>
  <c r="D708" i="15" s="1"/>
  <c r="D709" i="15" s="1"/>
  <c r="D710" i="15" s="1"/>
  <c r="D711" i="15" s="1"/>
  <c r="D712" i="15" s="1"/>
  <c r="D713" i="15" s="1"/>
  <c r="D714" i="15" s="1"/>
  <c r="D715" i="15" s="1"/>
  <c r="D716" i="15" s="1"/>
  <c r="D717" i="15" s="1"/>
  <c r="K691" i="15"/>
  <c r="D691" i="15"/>
  <c r="K690" i="15"/>
  <c r="L690" i="15" s="1"/>
  <c r="L691" i="15" s="1"/>
  <c r="F689" i="15"/>
  <c r="K689" i="15" s="1"/>
  <c r="F688" i="15"/>
  <c r="K688" i="15" s="1"/>
  <c r="K687" i="15"/>
  <c r="F687" i="15"/>
  <c r="F686" i="15"/>
  <c r="K686" i="15" s="1"/>
  <c r="F685" i="15"/>
  <c r="K685" i="15" s="1"/>
  <c r="F684" i="15"/>
  <c r="K684" i="15" s="1"/>
  <c r="K683" i="15"/>
  <c r="F683" i="15"/>
  <c r="F682" i="15"/>
  <c r="K682" i="15" s="1"/>
  <c r="K681" i="15"/>
  <c r="F681" i="15"/>
  <c r="F680" i="15"/>
  <c r="K680" i="15" s="1"/>
  <c r="K679" i="15"/>
  <c r="F679" i="15"/>
  <c r="F678" i="15"/>
  <c r="K678" i="15" s="1"/>
  <c r="K677" i="15"/>
  <c r="F677" i="15"/>
  <c r="K676" i="15"/>
  <c r="F676" i="15"/>
  <c r="K675" i="15"/>
  <c r="F675" i="15"/>
  <c r="K674" i="15"/>
  <c r="F674" i="15"/>
  <c r="K673" i="15"/>
  <c r="F673" i="15"/>
  <c r="K672" i="15"/>
  <c r="F672" i="15"/>
  <c r="K671" i="15"/>
  <c r="F671" i="15"/>
  <c r="K670" i="15"/>
  <c r="F670" i="15"/>
  <c r="K669" i="15"/>
  <c r="F669" i="15"/>
  <c r="K668" i="15"/>
  <c r="L668" i="15" s="1"/>
  <c r="F668" i="15"/>
  <c r="D668" i="15"/>
  <c r="D669" i="15" s="1"/>
  <c r="D670" i="15" s="1"/>
  <c r="D671" i="15" s="1"/>
  <c r="D672" i="15" s="1"/>
  <c r="D673" i="15" s="1"/>
  <c r="D674" i="15" s="1"/>
  <c r="D675" i="15" s="1"/>
  <c r="D676" i="15" s="1"/>
  <c r="D677" i="15" s="1"/>
  <c r="D678" i="15" s="1"/>
  <c r="D679" i="15" s="1"/>
  <c r="D680" i="15" s="1"/>
  <c r="D681" i="15" s="1"/>
  <c r="D682" i="15" s="1"/>
  <c r="D683" i="15" s="1"/>
  <c r="D684" i="15" s="1"/>
  <c r="D685" i="15" s="1"/>
  <c r="D686" i="15" s="1"/>
  <c r="D687" i="15" s="1"/>
  <c r="D688" i="15" s="1"/>
  <c r="D689" i="15" s="1"/>
  <c r="K667" i="15"/>
  <c r="L667" i="15" s="1"/>
  <c r="F667" i="15"/>
  <c r="K666" i="15"/>
  <c r="K665" i="15"/>
  <c r="K664" i="15"/>
  <c r="K663" i="15"/>
  <c r="K662" i="15"/>
  <c r="K661" i="15"/>
  <c r="K660" i="15"/>
  <c r="K659" i="15"/>
  <c r="K658" i="15"/>
  <c r="K657" i="15"/>
  <c r="K656" i="15"/>
  <c r="K655" i="15"/>
  <c r="K654" i="15"/>
  <c r="K653" i="15"/>
  <c r="K652" i="15"/>
  <c r="K651" i="15"/>
  <c r="K650" i="15"/>
  <c r="K649" i="15"/>
  <c r="K648" i="15"/>
  <c r="K647" i="15"/>
  <c r="K646" i="15"/>
  <c r="D646" i="15"/>
  <c r="D647" i="15" s="1"/>
  <c r="D648" i="15" s="1"/>
  <c r="D649" i="15" s="1"/>
  <c r="D650" i="15" s="1"/>
  <c r="D651" i="15" s="1"/>
  <c r="D652" i="15" s="1"/>
  <c r="D653" i="15" s="1"/>
  <c r="D654" i="15" s="1"/>
  <c r="D655" i="15" s="1"/>
  <c r="D656" i="15" s="1"/>
  <c r="D657" i="15" s="1"/>
  <c r="D658" i="15" s="1"/>
  <c r="D659" i="15" s="1"/>
  <c r="D660" i="15" s="1"/>
  <c r="D661" i="15" s="1"/>
  <c r="D662" i="15" s="1"/>
  <c r="D663" i="15" s="1"/>
  <c r="D664" i="15" s="1"/>
  <c r="D665" i="15" s="1"/>
  <c r="D666" i="15" s="1"/>
  <c r="K645" i="15"/>
  <c r="L645" i="15" s="1"/>
  <c r="L646" i="15" s="1"/>
  <c r="K644" i="15"/>
  <c r="L644" i="15" s="1"/>
  <c r="E644" i="15"/>
  <c r="D644" i="15"/>
  <c r="K643" i="15"/>
  <c r="L643" i="15" s="1"/>
  <c r="E643" i="15"/>
  <c r="K642" i="15"/>
  <c r="K641" i="15"/>
  <c r="K640" i="15"/>
  <c r="K639" i="15"/>
  <c r="K638" i="15"/>
  <c r="K637" i="15"/>
  <c r="K636" i="15"/>
  <c r="K635" i="15"/>
  <c r="K634" i="15"/>
  <c r="K633" i="15"/>
  <c r="K632" i="15"/>
  <c r="K631" i="15"/>
  <c r="K630" i="15"/>
  <c r="K629" i="15"/>
  <c r="K628" i="15"/>
  <c r="K627" i="15"/>
  <c r="K626" i="15"/>
  <c r="K625" i="15"/>
  <c r="K624" i="15"/>
  <c r="K623" i="15"/>
  <c r="K622" i="15"/>
  <c r="K621" i="15"/>
  <c r="K620" i="15"/>
  <c r="K619" i="15"/>
  <c r="K618" i="15"/>
  <c r="K617" i="15"/>
  <c r="K616" i="15"/>
  <c r="K615" i="15"/>
  <c r="K614" i="15"/>
  <c r="K613" i="15"/>
  <c r="K612" i="15"/>
  <c r="K611" i="15"/>
  <c r="K610" i="15"/>
  <c r="K609" i="15"/>
  <c r="K608" i="15"/>
  <c r="K607" i="15"/>
  <c r="K606" i="15"/>
  <c r="K605" i="15"/>
  <c r="K604" i="15"/>
  <c r="K603" i="15"/>
  <c r="L603" i="15" s="1"/>
  <c r="L604" i="15" s="1"/>
  <c r="K602" i="15"/>
  <c r="D602" i="15"/>
  <c r="D603" i="15" s="1"/>
  <c r="D604" i="15" s="1"/>
  <c r="D605" i="15" s="1"/>
  <c r="D606" i="15" s="1"/>
  <c r="D607" i="15" s="1"/>
  <c r="D608" i="15" s="1"/>
  <c r="D609" i="15" s="1"/>
  <c r="D610" i="15" s="1"/>
  <c r="D611" i="15" s="1"/>
  <c r="D612" i="15" s="1"/>
  <c r="D613" i="15" s="1"/>
  <c r="D614" i="15" s="1"/>
  <c r="D615" i="15" s="1"/>
  <c r="D616" i="15" s="1"/>
  <c r="D617" i="15" s="1"/>
  <c r="D618" i="15" s="1"/>
  <c r="D619" i="15" s="1"/>
  <c r="D620" i="15" s="1"/>
  <c r="D621" i="15" s="1"/>
  <c r="D622" i="15" s="1"/>
  <c r="D623" i="15" s="1"/>
  <c r="D624" i="15" s="1"/>
  <c r="D625" i="15" s="1"/>
  <c r="D626" i="15" s="1"/>
  <c r="D627" i="15" s="1"/>
  <c r="D628" i="15" s="1"/>
  <c r="D629" i="15" s="1"/>
  <c r="D630" i="15" s="1"/>
  <c r="D631" i="15" s="1"/>
  <c r="D632" i="15" s="1"/>
  <c r="D633" i="15" s="1"/>
  <c r="D634" i="15" s="1"/>
  <c r="D635" i="15" s="1"/>
  <c r="D636" i="15" s="1"/>
  <c r="D637" i="15" s="1"/>
  <c r="D638" i="15" s="1"/>
  <c r="D639" i="15" s="1"/>
  <c r="D640" i="15" s="1"/>
  <c r="D641" i="15" s="1"/>
  <c r="D642" i="15" s="1"/>
  <c r="K601" i="15"/>
  <c r="D601" i="15"/>
  <c r="L600" i="15"/>
  <c r="L601" i="15" s="1"/>
  <c r="L602" i="15" s="1"/>
  <c r="K600" i="15"/>
  <c r="G599" i="15"/>
  <c r="E599" i="15"/>
  <c r="K599" i="15" s="1"/>
  <c r="E598" i="15"/>
  <c r="G598" i="15" s="1"/>
  <c r="K598" i="15" s="1"/>
  <c r="K597" i="15"/>
  <c r="G597" i="15"/>
  <c r="E597" i="15"/>
  <c r="E596" i="15"/>
  <c r="G595" i="15"/>
  <c r="K595" i="15" s="1"/>
  <c r="E595" i="15"/>
  <c r="K594" i="15"/>
  <c r="G594" i="15"/>
  <c r="E594" i="15"/>
  <c r="G593" i="15"/>
  <c r="E593" i="15"/>
  <c r="K593" i="15" s="1"/>
  <c r="E592" i="15"/>
  <c r="G591" i="15"/>
  <c r="E591" i="15"/>
  <c r="K591" i="15" s="1"/>
  <c r="E590" i="15"/>
  <c r="G590" i="15" s="1"/>
  <c r="K590" i="15" s="1"/>
  <c r="K589" i="15"/>
  <c r="G589" i="15"/>
  <c r="E589" i="15"/>
  <c r="D589" i="15"/>
  <c r="D590" i="15" s="1"/>
  <c r="D591" i="15" s="1"/>
  <c r="D592" i="15" s="1"/>
  <c r="D593" i="15" s="1"/>
  <c r="D594" i="15" s="1"/>
  <c r="D595" i="15" s="1"/>
  <c r="D596" i="15" s="1"/>
  <c r="D597" i="15" s="1"/>
  <c r="D598" i="15" s="1"/>
  <c r="D599" i="15" s="1"/>
  <c r="E588" i="15"/>
  <c r="G587" i="15"/>
  <c r="K587" i="15" s="1"/>
  <c r="E587" i="15"/>
  <c r="K586" i="15"/>
  <c r="G586" i="15"/>
  <c r="E586" i="15"/>
  <c r="G585" i="15"/>
  <c r="E585" i="15"/>
  <c r="K585" i="15" s="1"/>
  <c r="E584" i="15"/>
  <c r="G583" i="15"/>
  <c r="E583" i="15"/>
  <c r="K583" i="15" s="1"/>
  <c r="K582" i="15"/>
  <c r="E582" i="15"/>
  <c r="G582" i="15" s="1"/>
  <c r="K581" i="15"/>
  <c r="G581" i="15"/>
  <c r="E581" i="15"/>
  <c r="D581" i="15"/>
  <c r="D582" i="15" s="1"/>
  <c r="D583" i="15" s="1"/>
  <c r="D584" i="15" s="1"/>
  <c r="D585" i="15" s="1"/>
  <c r="D586" i="15" s="1"/>
  <c r="D587" i="15" s="1"/>
  <c r="D588" i="15" s="1"/>
  <c r="E580" i="15"/>
  <c r="D580" i="15"/>
  <c r="G579" i="15"/>
  <c r="K579" i="15" s="1"/>
  <c r="L579" i="15" s="1"/>
  <c r="E579" i="15"/>
  <c r="K578" i="15"/>
  <c r="K577" i="15"/>
  <c r="K576" i="15"/>
  <c r="K575" i="15"/>
  <c r="K574" i="15"/>
  <c r="K573" i="15"/>
  <c r="L572" i="15"/>
  <c r="K572" i="15"/>
  <c r="D572" i="15"/>
  <c r="D573" i="15" s="1"/>
  <c r="D574" i="15" s="1"/>
  <c r="D575" i="15" s="1"/>
  <c r="D576" i="15" s="1"/>
  <c r="D577" i="15" s="1"/>
  <c r="D578" i="15" s="1"/>
  <c r="K571" i="15"/>
  <c r="L571" i="15" s="1"/>
  <c r="K570" i="15"/>
  <c r="K569" i="15"/>
  <c r="K568" i="15"/>
  <c r="K567" i="15"/>
  <c r="K566" i="15"/>
  <c r="K565" i="15"/>
  <c r="K564" i="15"/>
  <c r="D564" i="15"/>
  <c r="D566" i="15" s="1"/>
  <c r="D568" i="15" s="1"/>
  <c r="D570" i="15" s="1"/>
  <c r="K563" i="15"/>
  <c r="D563" i="15"/>
  <c r="D565" i="15" s="1"/>
  <c r="D567" i="15" s="1"/>
  <c r="D569" i="15" s="1"/>
  <c r="K562" i="15"/>
  <c r="K561" i="15"/>
  <c r="K560" i="15"/>
  <c r="K559" i="15"/>
  <c r="D559" i="15"/>
  <c r="D561" i="15" s="1"/>
  <c r="K558" i="15"/>
  <c r="D558" i="15"/>
  <c r="D560" i="15" s="1"/>
  <c r="D562" i="15" s="1"/>
  <c r="K557" i="15"/>
  <c r="D557" i="15"/>
  <c r="K556" i="15"/>
  <c r="L555" i="15"/>
  <c r="K555" i="15"/>
  <c r="K554" i="15"/>
  <c r="L554" i="15" s="1"/>
  <c r="E554" i="15"/>
  <c r="E553" i="15"/>
  <c r="K553" i="15" s="1"/>
  <c r="L553" i="15" s="1"/>
  <c r="K552" i="15"/>
  <c r="E552" i="15"/>
  <c r="D552" i="15"/>
  <c r="K551" i="15"/>
  <c r="L551" i="15" s="1"/>
  <c r="L552" i="15" s="1"/>
  <c r="E551" i="15"/>
  <c r="K550" i="15"/>
  <c r="K549" i="15"/>
  <c r="K548" i="15"/>
  <c r="K547" i="15"/>
  <c r="K546" i="15"/>
  <c r="K545" i="15"/>
  <c r="K544" i="15"/>
  <c r="K543" i="15"/>
  <c r="K542" i="15"/>
  <c r="K541" i="15"/>
  <c r="K540" i="15"/>
  <c r="K539" i="15"/>
  <c r="K538" i="15"/>
  <c r="K537" i="15"/>
  <c r="K536" i="15"/>
  <c r="D536" i="15"/>
  <c r="D537" i="15" s="1"/>
  <c r="D538" i="15" s="1"/>
  <c r="D539" i="15" s="1"/>
  <c r="D540" i="15" s="1"/>
  <c r="D541" i="15" s="1"/>
  <c r="D542" i="15" s="1"/>
  <c r="D543" i="15" s="1"/>
  <c r="D544" i="15" s="1"/>
  <c r="D545" i="15" s="1"/>
  <c r="D546" i="15" s="1"/>
  <c r="D547" i="15" s="1"/>
  <c r="D548" i="15" s="1"/>
  <c r="D549" i="15" s="1"/>
  <c r="D550" i="15" s="1"/>
  <c r="K535" i="15"/>
  <c r="L535" i="15" s="1"/>
  <c r="L536" i="15" s="1"/>
  <c r="K534" i="15"/>
  <c r="L534" i="15" s="1"/>
  <c r="D534" i="15"/>
  <c r="D535" i="15" s="1"/>
  <c r="K533" i="15"/>
  <c r="L533" i="15" s="1"/>
  <c r="D533" i="15"/>
  <c r="L532" i="15"/>
  <c r="K532" i="15"/>
  <c r="K531" i="15"/>
  <c r="K530" i="15"/>
  <c r="K529" i="15"/>
  <c r="K528" i="15"/>
  <c r="K527" i="15"/>
  <c r="K526" i="15"/>
  <c r="K525" i="15"/>
  <c r="K524" i="15"/>
  <c r="K523" i="15"/>
  <c r="K522" i="15"/>
  <c r="K521" i="15"/>
  <c r="K520" i="15"/>
  <c r="K519" i="15"/>
  <c r="K518" i="15"/>
  <c r="K517" i="15"/>
  <c r="D517" i="15"/>
  <c r="D518" i="15" s="1"/>
  <c r="D519" i="15" s="1"/>
  <c r="D520" i="15" s="1"/>
  <c r="D521" i="15" s="1"/>
  <c r="D522" i="15" s="1"/>
  <c r="D523" i="15" s="1"/>
  <c r="D524" i="15" s="1"/>
  <c r="D525" i="15" s="1"/>
  <c r="D526" i="15" s="1"/>
  <c r="D527" i="15" s="1"/>
  <c r="D528" i="15" s="1"/>
  <c r="D529" i="15" s="1"/>
  <c r="D530" i="15" s="1"/>
  <c r="D531" i="15" s="1"/>
  <c r="K516" i="15"/>
  <c r="K515" i="15"/>
  <c r="D515" i="15"/>
  <c r="D516" i="15" s="1"/>
  <c r="K514" i="15"/>
  <c r="K513" i="15"/>
  <c r="L513" i="15" s="1"/>
  <c r="L514" i="15" s="1"/>
  <c r="K512" i="15"/>
  <c r="L511" i="15"/>
  <c r="K511" i="15"/>
  <c r="K510" i="15"/>
  <c r="K509" i="15"/>
  <c r="D509" i="15"/>
  <c r="D510" i="15" s="1"/>
  <c r="K508" i="15"/>
  <c r="L508" i="15" s="1"/>
  <c r="L509" i="15" s="1"/>
  <c r="L510" i="15" s="1"/>
  <c r="D508" i="15"/>
  <c r="L507" i="15"/>
  <c r="K507" i="15"/>
  <c r="E506" i="15"/>
  <c r="G505" i="15"/>
  <c r="F505" i="15"/>
  <c r="E505" i="15"/>
  <c r="G504" i="15"/>
  <c r="K504" i="15" s="1"/>
  <c r="E504" i="15"/>
  <c r="F504" i="15" s="1"/>
  <c r="E503" i="15"/>
  <c r="G502" i="15"/>
  <c r="F502" i="15"/>
  <c r="K502" i="15" s="1"/>
  <c r="E502" i="15"/>
  <c r="E501" i="15"/>
  <c r="F501" i="15" s="1"/>
  <c r="E500" i="15"/>
  <c r="E499" i="15"/>
  <c r="G498" i="15"/>
  <c r="F498" i="15"/>
  <c r="K498" i="15" s="1"/>
  <c r="E498" i="15"/>
  <c r="E497" i="15"/>
  <c r="F497" i="15" s="1"/>
  <c r="E496" i="15"/>
  <c r="E495" i="15"/>
  <c r="G494" i="15"/>
  <c r="F494" i="15"/>
  <c r="K494" i="15" s="1"/>
  <c r="E494" i="15"/>
  <c r="E493" i="15"/>
  <c r="F493" i="15" s="1"/>
  <c r="E492" i="15"/>
  <c r="E491" i="15"/>
  <c r="G490" i="15"/>
  <c r="F490" i="15"/>
  <c r="K490" i="15" s="1"/>
  <c r="E490" i="15"/>
  <c r="E489" i="15"/>
  <c r="F489" i="15" s="1"/>
  <c r="D489" i="15"/>
  <c r="D490" i="15" s="1"/>
  <c r="D491" i="15" s="1"/>
  <c r="D492" i="15" s="1"/>
  <c r="D493" i="15" s="1"/>
  <c r="D494" i="15" s="1"/>
  <c r="D495" i="15" s="1"/>
  <c r="D496" i="15" s="1"/>
  <c r="D497" i="15" s="1"/>
  <c r="D498" i="15" s="1"/>
  <c r="D499" i="15" s="1"/>
  <c r="D500" i="15" s="1"/>
  <c r="D501" i="15" s="1"/>
  <c r="D502" i="15" s="1"/>
  <c r="D503" i="15" s="1"/>
  <c r="D504" i="15" s="1"/>
  <c r="D505" i="15" s="1"/>
  <c r="D506" i="15" s="1"/>
  <c r="E488" i="15"/>
  <c r="K487" i="15"/>
  <c r="K486" i="15"/>
  <c r="K485" i="15"/>
  <c r="K484" i="15"/>
  <c r="K483" i="15"/>
  <c r="K482" i="15"/>
  <c r="K481" i="15"/>
  <c r="K480" i="15"/>
  <c r="D480" i="15"/>
  <c r="D481" i="15" s="1"/>
  <c r="D482" i="15" s="1"/>
  <c r="D483" i="15" s="1"/>
  <c r="D484" i="15" s="1"/>
  <c r="D485" i="15" s="1"/>
  <c r="D486" i="15" s="1"/>
  <c r="D487" i="15" s="1"/>
  <c r="K479" i="15"/>
  <c r="K478" i="15"/>
  <c r="K477" i="15"/>
  <c r="K476" i="15"/>
  <c r="K475" i="15"/>
  <c r="L475" i="15" s="1"/>
  <c r="L476" i="15" s="1"/>
  <c r="D475" i="15"/>
  <c r="D476" i="15" s="1"/>
  <c r="D477" i="15" s="1"/>
  <c r="D478" i="15" s="1"/>
  <c r="D479" i="15" s="1"/>
  <c r="L474" i="15"/>
  <c r="K474" i="15"/>
  <c r="D474" i="15"/>
  <c r="L473" i="15"/>
  <c r="K473" i="15"/>
  <c r="E472" i="15"/>
  <c r="K472" i="15" s="1"/>
  <c r="K471" i="15"/>
  <c r="E471" i="15"/>
  <c r="E470" i="15"/>
  <c r="K470" i="15" s="1"/>
  <c r="K469" i="15"/>
  <c r="E469" i="15"/>
  <c r="E468" i="15"/>
  <c r="K468" i="15" s="1"/>
  <c r="K467" i="15"/>
  <c r="E467" i="15"/>
  <c r="E466" i="15"/>
  <c r="K466" i="15" s="1"/>
  <c r="K465" i="15"/>
  <c r="E465" i="15"/>
  <c r="E464" i="15"/>
  <c r="K464" i="15" s="1"/>
  <c r="K463" i="15"/>
  <c r="E463" i="15"/>
  <c r="E462" i="15"/>
  <c r="K462" i="15" s="1"/>
  <c r="K461" i="15"/>
  <c r="E461" i="15"/>
  <c r="E460" i="15"/>
  <c r="K460" i="15" s="1"/>
  <c r="K459" i="15"/>
  <c r="E459" i="15"/>
  <c r="E458" i="15"/>
  <c r="K458" i="15" s="1"/>
  <c r="D458" i="15"/>
  <c r="D459" i="15" s="1"/>
  <c r="D460" i="15" s="1"/>
  <c r="D461" i="15" s="1"/>
  <c r="D462" i="15" s="1"/>
  <c r="D463" i="15" s="1"/>
  <c r="D464" i="15" s="1"/>
  <c r="D465" i="15" s="1"/>
  <c r="D466" i="15" s="1"/>
  <c r="D467" i="15" s="1"/>
  <c r="D468" i="15" s="1"/>
  <c r="D469" i="15" s="1"/>
  <c r="D470" i="15" s="1"/>
  <c r="D471" i="15" s="1"/>
  <c r="D472" i="15" s="1"/>
  <c r="K457" i="15"/>
  <c r="E457" i="15"/>
  <c r="E456" i="15"/>
  <c r="K456" i="15" s="1"/>
  <c r="D456" i="15"/>
  <c r="D457" i="15" s="1"/>
  <c r="K455" i="15"/>
  <c r="E455" i="15"/>
  <c r="D455" i="15"/>
  <c r="E454" i="15"/>
  <c r="K454" i="15" s="1"/>
  <c r="L454" i="15" s="1"/>
  <c r="L453" i="15"/>
  <c r="E453" i="15"/>
  <c r="K453" i="15" s="1"/>
  <c r="K452" i="15"/>
  <c r="E451" i="15"/>
  <c r="K451" i="15" s="1"/>
  <c r="K450" i="15"/>
  <c r="K449" i="15"/>
  <c r="K448" i="15"/>
  <c r="K447" i="15"/>
  <c r="K446" i="15"/>
  <c r="D446" i="15"/>
  <c r="D447" i="15" s="1"/>
  <c r="D448" i="15" s="1"/>
  <c r="D449" i="15" s="1"/>
  <c r="D450" i="15" s="1"/>
  <c r="D451" i="15" s="1"/>
  <c r="K445" i="15"/>
  <c r="L445" i="15" s="1"/>
  <c r="L446" i="15" s="1"/>
  <c r="K444" i="15"/>
  <c r="E444" i="15"/>
  <c r="K443" i="15"/>
  <c r="E443" i="15"/>
  <c r="K442" i="15"/>
  <c r="E442" i="15"/>
  <c r="K441" i="15"/>
  <c r="E441" i="15"/>
  <c r="K440" i="15"/>
  <c r="E440" i="15"/>
  <c r="K439" i="15"/>
  <c r="E439" i="15"/>
  <c r="K438" i="15"/>
  <c r="E438" i="15"/>
  <c r="K437" i="15"/>
  <c r="E437" i="15"/>
  <c r="K436" i="15"/>
  <c r="E436" i="15"/>
  <c r="K435" i="15"/>
  <c r="E435" i="15"/>
  <c r="K434" i="15"/>
  <c r="E434" i="15"/>
  <c r="K433" i="15"/>
  <c r="E433" i="15"/>
  <c r="D433" i="15"/>
  <c r="D434" i="15" s="1"/>
  <c r="D435" i="15" s="1"/>
  <c r="D436" i="15" s="1"/>
  <c r="D437" i="15" s="1"/>
  <c r="D438" i="15" s="1"/>
  <c r="D439" i="15" s="1"/>
  <c r="D440" i="15" s="1"/>
  <c r="D441" i="15" s="1"/>
  <c r="D442" i="15" s="1"/>
  <c r="D443" i="15" s="1"/>
  <c r="D444" i="15" s="1"/>
  <c r="K432" i="15"/>
  <c r="E432" i="15"/>
  <c r="K431" i="15"/>
  <c r="E431" i="15"/>
  <c r="D431" i="15"/>
  <c r="D432" i="15" s="1"/>
  <c r="K430" i="15"/>
  <c r="E430" i="15"/>
  <c r="K429" i="15"/>
  <c r="E429" i="15"/>
  <c r="D429" i="15"/>
  <c r="D430" i="15" s="1"/>
  <c r="K428" i="15"/>
  <c r="E428" i="15"/>
  <c r="K427" i="15"/>
  <c r="E427" i="15"/>
  <c r="D427" i="15"/>
  <c r="D428" i="15" s="1"/>
  <c r="K426" i="15"/>
  <c r="L426" i="15" s="1"/>
  <c r="L427" i="15" s="1"/>
  <c r="L428" i="15" s="1"/>
  <c r="L429" i="15" s="1"/>
  <c r="L430" i="15" s="1"/>
  <c r="L431" i="15" s="1"/>
  <c r="L432" i="15" s="1"/>
  <c r="L433" i="15" s="1"/>
  <c r="L434" i="15" s="1"/>
  <c r="L435" i="15" s="1"/>
  <c r="L436" i="15" s="1"/>
  <c r="L437" i="15" s="1"/>
  <c r="L438" i="15" s="1"/>
  <c r="L439" i="15" s="1"/>
  <c r="L440" i="15" s="1"/>
  <c r="L441" i="15" s="1"/>
  <c r="L442" i="15" s="1"/>
  <c r="L443" i="15" s="1"/>
  <c r="L444" i="15" s="1"/>
  <c r="E426" i="15"/>
  <c r="E425" i="15"/>
  <c r="K425" i="15" s="1"/>
  <c r="E424" i="15"/>
  <c r="K424" i="15" s="1"/>
  <c r="E423" i="15"/>
  <c r="K423" i="15" s="1"/>
  <c r="E422" i="15"/>
  <c r="K422" i="15" s="1"/>
  <c r="E421" i="15"/>
  <c r="K421" i="15" s="1"/>
  <c r="E420" i="15"/>
  <c r="K420" i="15" s="1"/>
  <c r="E419" i="15"/>
  <c r="K419" i="15" s="1"/>
  <c r="E418" i="15"/>
  <c r="K418" i="15" s="1"/>
  <c r="E417" i="15"/>
  <c r="K417" i="15" s="1"/>
  <c r="E416" i="15"/>
  <c r="K416" i="15" s="1"/>
  <c r="E415" i="15"/>
  <c r="K415" i="15" s="1"/>
  <c r="E414" i="15"/>
  <c r="K414" i="15" s="1"/>
  <c r="E413" i="15"/>
  <c r="K413" i="15" s="1"/>
  <c r="E412" i="15"/>
  <c r="K412" i="15" s="1"/>
  <c r="E411" i="15"/>
  <c r="K411" i="15" s="1"/>
  <c r="E410" i="15"/>
  <c r="K410" i="15" s="1"/>
  <c r="E409" i="15"/>
  <c r="K409" i="15" s="1"/>
  <c r="D409" i="15"/>
  <c r="D410" i="15" s="1"/>
  <c r="D411" i="15" s="1"/>
  <c r="D412" i="15" s="1"/>
  <c r="D413" i="15" s="1"/>
  <c r="D414" i="15" s="1"/>
  <c r="D415" i="15" s="1"/>
  <c r="D416" i="15" s="1"/>
  <c r="D417" i="15" s="1"/>
  <c r="D418" i="15" s="1"/>
  <c r="D419" i="15" s="1"/>
  <c r="D420" i="15" s="1"/>
  <c r="D421" i="15" s="1"/>
  <c r="D422" i="15" s="1"/>
  <c r="D423" i="15" s="1"/>
  <c r="D424" i="15" s="1"/>
  <c r="D425" i="15" s="1"/>
  <c r="E408" i="15"/>
  <c r="K408" i="15" s="1"/>
  <c r="L408" i="15" s="1"/>
  <c r="D408" i="15"/>
  <c r="E407" i="15"/>
  <c r="K407" i="15" s="1"/>
  <c r="L407" i="15" s="1"/>
  <c r="L406" i="15"/>
  <c r="K406" i="15"/>
  <c r="E406" i="15"/>
  <c r="L405" i="15"/>
  <c r="K405" i="15"/>
  <c r="K404" i="15"/>
  <c r="D404" i="15"/>
  <c r="K403" i="15"/>
  <c r="L403" i="15" s="1"/>
  <c r="K402" i="15"/>
  <c r="L402" i="15" s="1"/>
  <c r="K401" i="15"/>
  <c r="K400" i="15"/>
  <c r="L400" i="15" s="1"/>
  <c r="L401" i="15" s="1"/>
  <c r="K399" i="15"/>
  <c r="L399" i="15" s="1"/>
  <c r="K398" i="15"/>
  <c r="K397" i="15"/>
  <c r="K396" i="15"/>
  <c r="K395" i="15"/>
  <c r="K394" i="15"/>
  <c r="K393" i="15"/>
  <c r="K392" i="15"/>
  <c r="K391" i="15"/>
  <c r="D391" i="15"/>
  <c r="D392" i="15" s="1"/>
  <c r="D393" i="15" s="1"/>
  <c r="D394" i="15" s="1"/>
  <c r="D395" i="15" s="1"/>
  <c r="D396" i="15" s="1"/>
  <c r="D397" i="15" s="1"/>
  <c r="D398" i="15" s="1"/>
  <c r="K390" i="15"/>
  <c r="D390" i="15"/>
  <c r="K389" i="15"/>
  <c r="L389" i="15" s="1"/>
  <c r="K388" i="15"/>
  <c r="E388" i="15"/>
  <c r="K387" i="15"/>
  <c r="L387" i="15" s="1"/>
  <c r="L388" i="15" s="1"/>
  <c r="E387" i="15"/>
  <c r="D386" i="15"/>
  <c r="L385" i="15"/>
  <c r="E385" i="15"/>
  <c r="K385" i="15" s="1"/>
  <c r="E384" i="15"/>
  <c r="K384" i="15" s="1"/>
  <c r="K383" i="15"/>
  <c r="E383" i="15"/>
  <c r="E382" i="15"/>
  <c r="K382" i="15" s="1"/>
  <c r="K381" i="15"/>
  <c r="E381" i="15"/>
  <c r="E380" i="15"/>
  <c r="K380" i="15" s="1"/>
  <c r="K379" i="15"/>
  <c r="E379" i="15"/>
  <c r="K378" i="15"/>
  <c r="E378" i="15"/>
  <c r="D378" i="15"/>
  <c r="D379" i="15" s="1"/>
  <c r="D380" i="15" s="1"/>
  <c r="D381" i="15" s="1"/>
  <c r="D382" i="15" s="1"/>
  <c r="D383" i="15" s="1"/>
  <c r="D384" i="15" s="1"/>
  <c r="K377" i="15"/>
  <c r="L377" i="15" s="1"/>
  <c r="L378" i="15" s="1"/>
  <c r="L379" i="15" s="1"/>
  <c r="E377" i="15"/>
  <c r="L376" i="15"/>
  <c r="K376" i="15"/>
  <c r="I376" i="15"/>
  <c r="E376" i="15"/>
  <c r="D376" i="15"/>
  <c r="K375" i="15"/>
  <c r="L375" i="15" s="1"/>
  <c r="K374" i="15"/>
  <c r="L374" i="15" s="1"/>
  <c r="I374" i="15"/>
  <c r="E374" i="15"/>
  <c r="D374" i="15"/>
  <c r="L373" i="15"/>
  <c r="K373" i="15"/>
  <c r="K372" i="15"/>
  <c r="K371" i="15"/>
  <c r="K370" i="15"/>
  <c r="K369" i="15"/>
  <c r="K368" i="15"/>
  <c r="K367" i="15"/>
  <c r="K366" i="15"/>
  <c r="K365" i="15"/>
  <c r="K364" i="15"/>
  <c r="K363" i="15"/>
  <c r="K362" i="15"/>
  <c r="K361" i="15"/>
  <c r="K360" i="15"/>
  <c r="K359" i="15"/>
  <c r="K358" i="15"/>
  <c r="K357" i="15"/>
  <c r="K356" i="15"/>
  <c r="D356" i="15"/>
  <c r="D357" i="15" s="1"/>
  <c r="D358" i="15" s="1"/>
  <c r="D359" i="15" s="1"/>
  <c r="D360" i="15" s="1"/>
  <c r="D361" i="15" s="1"/>
  <c r="D362" i="15" s="1"/>
  <c r="D363" i="15" s="1"/>
  <c r="D364" i="15" s="1"/>
  <c r="D365" i="15" s="1"/>
  <c r="D366" i="15" s="1"/>
  <c r="D367" i="15" s="1"/>
  <c r="D368" i="15" s="1"/>
  <c r="D369" i="15" s="1"/>
  <c r="D370" i="15" s="1"/>
  <c r="D371" i="15" s="1"/>
  <c r="D372" i="15" s="1"/>
  <c r="K355" i="15"/>
  <c r="D355" i="15"/>
  <c r="K354" i="15"/>
  <c r="L354" i="15" s="1"/>
  <c r="L355" i="15" s="1"/>
  <c r="L356" i="15" s="1"/>
  <c r="L353" i="15"/>
  <c r="E353" i="15"/>
  <c r="K353" i="15" s="1"/>
  <c r="D353" i="15"/>
  <c r="L352" i="15"/>
  <c r="K352" i="15"/>
  <c r="K351" i="15"/>
  <c r="K350" i="15"/>
  <c r="K349" i="15"/>
  <c r="K348" i="15"/>
  <c r="K347" i="15"/>
  <c r="K346" i="15"/>
  <c r="K345" i="15"/>
  <c r="D345" i="15"/>
  <c r="D346" i="15" s="1"/>
  <c r="D347" i="15" s="1"/>
  <c r="D348" i="15" s="1"/>
  <c r="D349" i="15" s="1"/>
  <c r="D350" i="15" s="1"/>
  <c r="D351" i="15" s="1"/>
  <c r="K344" i="15"/>
  <c r="D344" i="15"/>
  <c r="L343" i="15"/>
  <c r="L344" i="15" s="1"/>
  <c r="L345" i="15" s="1"/>
  <c r="K343" i="15"/>
  <c r="K342" i="15"/>
  <c r="K341" i="15"/>
  <c r="K340" i="15"/>
  <c r="K339" i="15"/>
  <c r="K338" i="15"/>
  <c r="L338" i="15" s="1"/>
  <c r="L339" i="15" s="1"/>
  <c r="L340" i="15" s="1"/>
  <c r="L341" i="15" s="1"/>
  <c r="L342" i="15" s="1"/>
  <c r="K337" i="15"/>
  <c r="D337" i="15"/>
  <c r="D338" i="15" s="1"/>
  <c r="D339" i="15" s="1"/>
  <c r="D340" i="15" s="1"/>
  <c r="D341" i="15" s="1"/>
  <c r="D342" i="15" s="1"/>
  <c r="L336" i="15"/>
  <c r="L337" i="15" s="1"/>
  <c r="K336" i="15"/>
  <c r="E335" i="15"/>
  <c r="K335" i="15" s="1"/>
  <c r="K334" i="15"/>
  <c r="E334" i="15"/>
  <c r="E333" i="15"/>
  <c r="K333" i="15" s="1"/>
  <c r="K332" i="15"/>
  <c r="E332" i="15"/>
  <c r="E331" i="15"/>
  <c r="K331" i="15" s="1"/>
  <c r="K330" i="15"/>
  <c r="E330" i="15"/>
  <c r="E329" i="15"/>
  <c r="K329" i="15" s="1"/>
  <c r="D329" i="15"/>
  <c r="D330" i="15" s="1"/>
  <c r="D331" i="15" s="1"/>
  <c r="D332" i="15" s="1"/>
  <c r="D333" i="15" s="1"/>
  <c r="D334" i="15" s="1"/>
  <c r="D335" i="15" s="1"/>
  <c r="K328" i="15"/>
  <c r="L328" i="15" s="1"/>
  <c r="E328" i="15"/>
  <c r="D328" i="15"/>
  <c r="E327" i="15"/>
  <c r="K327" i="15" s="1"/>
  <c r="L327" i="15" s="1"/>
  <c r="K326" i="15"/>
  <c r="K325" i="15"/>
  <c r="K324" i="15"/>
  <c r="K323" i="15"/>
  <c r="K322" i="15"/>
  <c r="K321" i="15"/>
  <c r="K320" i="15"/>
  <c r="K319" i="15"/>
  <c r="K318" i="15"/>
  <c r="K317" i="15"/>
  <c r="K316" i="15"/>
  <c r="K315" i="15"/>
  <c r="K314" i="15"/>
  <c r="K313" i="15"/>
  <c r="K312" i="15"/>
  <c r="K311" i="15"/>
  <c r="K310" i="15"/>
  <c r="K309" i="15"/>
  <c r="K308" i="15"/>
  <c r="K307" i="15"/>
  <c r="K306" i="15"/>
  <c r="K305" i="15"/>
  <c r="K304" i="15"/>
  <c r="K303" i="15"/>
  <c r="K302" i="15"/>
  <c r="K301" i="15"/>
  <c r="K300" i="15"/>
  <c r="K299" i="15"/>
  <c r="K298" i="15"/>
  <c r="K297" i="15"/>
  <c r="K296" i="15"/>
  <c r="K295" i="15"/>
  <c r="K294" i="15"/>
  <c r="K293" i="15"/>
  <c r="K292" i="15"/>
  <c r="K291" i="15"/>
  <c r="K290" i="15"/>
  <c r="K289" i="15"/>
  <c r="K288" i="15"/>
  <c r="K287" i="15"/>
  <c r="K286" i="15"/>
  <c r="D286" i="15"/>
  <c r="D287" i="15" s="1"/>
  <c r="D288" i="15" s="1"/>
  <c r="D289" i="15" s="1"/>
  <c r="D290" i="15" s="1"/>
  <c r="D291" i="15" s="1"/>
  <c r="D292" i="15" s="1"/>
  <c r="D293" i="15" s="1"/>
  <c r="D294" i="15" s="1"/>
  <c r="D295" i="15" s="1"/>
  <c r="D296" i="15" s="1"/>
  <c r="D297" i="15" s="1"/>
  <c r="D298" i="15" s="1"/>
  <c r="D299" i="15" s="1"/>
  <c r="D300" i="15" s="1"/>
  <c r="D301" i="15" s="1"/>
  <c r="D302" i="15" s="1"/>
  <c r="D303" i="15" s="1"/>
  <c r="D304" i="15" s="1"/>
  <c r="D305" i="15" s="1"/>
  <c r="D306" i="15" s="1"/>
  <c r="D307" i="15" s="1"/>
  <c r="D308" i="15" s="1"/>
  <c r="D309" i="15" s="1"/>
  <c r="D310" i="15" s="1"/>
  <c r="D311" i="15" s="1"/>
  <c r="D312" i="15" s="1"/>
  <c r="D313" i="15" s="1"/>
  <c r="D314" i="15" s="1"/>
  <c r="D315" i="15" s="1"/>
  <c r="D316" i="15" s="1"/>
  <c r="D317" i="15" s="1"/>
  <c r="D318" i="15" s="1"/>
  <c r="D319" i="15" s="1"/>
  <c r="D320" i="15" s="1"/>
  <c r="D321" i="15" s="1"/>
  <c r="D322" i="15" s="1"/>
  <c r="D323" i="15" s="1"/>
  <c r="D324" i="15" s="1"/>
  <c r="D325" i="15" s="1"/>
  <c r="D326" i="15" s="1"/>
  <c r="K285" i="15"/>
  <c r="D285" i="15"/>
  <c r="K284" i="15"/>
  <c r="L284" i="15" s="1"/>
  <c r="L285" i="15" s="1"/>
  <c r="L286" i="15" s="1"/>
  <c r="E283" i="15"/>
  <c r="K283" i="15" s="1"/>
  <c r="E282" i="15"/>
  <c r="K282" i="15" s="1"/>
  <c r="E281" i="15"/>
  <c r="K281" i="15" s="1"/>
  <c r="E280" i="15"/>
  <c r="K280" i="15" s="1"/>
  <c r="E279" i="15"/>
  <c r="K279" i="15" s="1"/>
  <c r="E278" i="15"/>
  <c r="K278" i="15" s="1"/>
  <c r="E277" i="15"/>
  <c r="K277" i="15" s="1"/>
  <c r="E276" i="15"/>
  <c r="K276" i="15" s="1"/>
  <c r="E275" i="15"/>
  <c r="K275" i="15" s="1"/>
  <c r="E274" i="15"/>
  <c r="K274" i="15" s="1"/>
  <c r="L274" i="15" s="1"/>
  <c r="D274" i="15"/>
  <c r="D275" i="15" s="1"/>
  <c r="D276" i="15" s="1"/>
  <c r="D277" i="15" s="1"/>
  <c r="D278" i="15" s="1"/>
  <c r="D279" i="15" s="1"/>
  <c r="D280" i="15" s="1"/>
  <c r="D281" i="15" s="1"/>
  <c r="D282" i="15" s="1"/>
  <c r="D283" i="15" s="1"/>
  <c r="L273" i="15"/>
  <c r="K273" i="15"/>
  <c r="K272" i="15"/>
  <c r="K271" i="15"/>
  <c r="K270" i="15"/>
  <c r="K269" i="15"/>
  <c r="K268" i="15"/>
  <c r="K267" i="15"/>
  <c r="K266" i="15"/>
  <c r="K265" i="15"/>
  <c r="K264" i="15"/>
  <c r="K263" i="15"/>
  <c r="K262" i="15"/>
  <c r="K261" i="15"/>
  <c r="K260" i="15"/>
  <c r="K259" i="15"/>
  <c r="K258" i="15"/>
  <c r="K257" i="15"/>
  <c r="K256" i="15"/>
  <c r="K255" i="15"/>
  <c r="L255" i="15" s="1"/>
  <c r="L256" i="15" s="1"/>
  <c r="L257" i="15" s="1"/>
  <c r="L258" i="15" s="1"/>
  <c r="D255" i="15"/>
  <c r="D256" i="15" s="1"/>
  <c r="D257" i="15" s="1"/>
  <c r="D258" i="15" s="1"/>
  <c r="D259" i="15" s="1"/>
  <c r="D260" i="15" s="1"/>
  <c r="D261" i="15" s="1"/>
  <c r="D262" i="15" s="1"/>
  <c r="D263" i="15" s="1"/>
  <c r="D264" i="15" s="1"/>
  <c r="D265" i="15" s="1"/>
  <c r="D266" i="15" s="1"/>
  <c r="D267" i="15" s="1"/>
  <c r="D268" i="15" s="1"/>
  <c r="D269" i="15" s="1"/>
  <c r="D270" i="15" s="1"/>
  <c r="D271" i="15" s="1"/>
  <c r="D272" i="15" s="1"/>
  <c r="L254" i="15"/>
  <c r="K254" i="15"/>
  <c r="L253" i="15"/>
  <c r="K253" i="15"/>
  <c r="L252" i="15"/>
  <c r="K252" i="15"/>
  <c r="K251" i="15"/>
  <c r="K250" i="15"/>
  <c r="K249" i="15"/>
  <c r="K248" i="15"/>
  <c r="K247" i="15"/>
  <c r="K246" i="15"/>
  <c r="K245" i="15"/>
  <c r="K244" i="15"/>
  <c r="K243" i="15"/>
  <c r="K242" i="15"/>
  <c r="L242" i="15" s="1"/>
  <c r="K241" i="15"/>
  <c r="D241" i="15"/>
  <c r="D242" i="15" s="1"/>
  <c r="D243" i="15" s="1"/>
  <c r="D244" i="15" s="1"/>
  <c r="D245" i="15" s="1"/>
  <c r="D246" i="15" s="1"/>
  <c r="D247" i="15" s="1"/>
  <c r="D248" i="15" s="1"/>
  <c r="D249" i="15" s="1"/>
  <c r="D250" i="15" s="1"/>
  <c r="D251" i="15" s="1"/>
  <c r="K240" i="15"/>
  <c r="D240" i="15"/>
  <c r="L239" i="15"/>
  <c r="L240" i="15" s="1"/>
  <c r="L241" i="15" s="1"/>
  <c r="K239" i="15"/>
  <c r="K238" i="15"/>
  <c r="K237" i="15"/>
  <c r="K236" i="15"/>
  <c r="K235" i="15"/>
  <c r="K234" i="15"/>
  <c r="K233" i="15"/>
  <c r="K232" i="15"/>
  <c r="L232" i="15" s="1"/>
  <c r="L233" i="15" s="1"/>
  <c r="L234" i="15" s="1"/>
  <c r="D232" i="15"/>
  <c r="D233" i="15" s="1"/>
  <c r="D234" i="15" s="1"/>
  <c r="D235" i="15" s="1"/>
  <c r="D236" i="15" s="1"/>
  <c r="D237" i="15" s="1"/>
  <c r="D238" i="15" s="1"/>
  <c r="K231" i="15"/>
  <c r="L231" i="15" s="1"/>
  <c r="K230" i="15"/>
  <c r="E230" i="15"/>
  <c r="K229" i="15"/>
  <c r="K228" i="15"/>
  <c r="K227" i="15"/>
  <c r="K226" i="15"/>
  <c r="K225" i="15"/>
  <c r="K224" i="15"/>
  <c r="K223" i="15"/>
  <c r="K222" i="15"/>
  <c r="D222" i="15"/>
  <c r="D223" i="15" s="1"/>
  <c r="D224" i="15" s="1"/>
  <c r="D225" i="15" s="1"/>
  <c r="D226" i="15" s="1"/>
  <c r="D227" i="15" s="1"/>
  <c r="D228" i="15" s="1"/>
  <c r="D229" i="15" s="1"/>
  <c r="D230" i="15" s="1"/>
  <c r="K221" i="15"/>
  <c r="D221" i="15"/>
  <c r="L220" i="15"/>
  <c r="L221" i="15" s="1"/>
  <c r="L222" i="15" s="1"/>
  <c r="K219" i="15"/>
  <c r="K218" i="15"/>
  <c r="F218" i="15"/>
  <c r="F217" i="15"/>
  <c r="K217" i="15" s="1"/>
  <c r="K216" i="15"/>
  <c r="F216" i="15"/>
  <c r="F215" i="15"/>
  <c r="K215" i="15" s="1"/>
  <c r="K214" i="15"/>
  <c r="F214" i="15"/>
  <c r="F213" i="15"/>
  <c r="K213" i="15" s="1"/>
  <c r="K212" i="15"/>
  <c r="F212" i="15"/>
  <c r="K211" i="15"/>
  <c r="F211" i="15"/>
  <c r="D211" i="15"/>
  <c r="D212" i="15" s="1"/>
  <c r="D213" i="15" s="1"/>
  <c r="D214" i="15" s="1"/>
  <c r="D215" i="15" s="1"/>
  <c r="D216" i="15" s="1"/>
  <c r="D217" i="15" s="1"/>
  <c r="D218" i="15" s="1"/>
  <c r="D219" i="15" s="1"/>
  <c r="K210" i="15"/>
  <c r="L210" i="15" s="1"/>
  <c r="L211" i="15" s="1"/>
  <c r="F210" i="15"/>
  <c r="K209" i="15"/>
  <c r="F209" i="15"/>
  <c r="F208" i="15"/>
  <c r="K208" i="15" s="1"/>
  <c r="K207" i="15"/>
  <c r="F207" i="15"/>
  <c r="F206" i="15"/>
  <c r="K206" i="15" s="1"/>
  <c r="K205" i="15"/>
  <c r="F205" i="15"/>
  <c r="F204" i="15"/>
  <c r="K204" i="15" s="1"/>
  <c r="K203" i="15"/>
  <c r="F203" i="15"/>
  <c r="F202" i="15"/>
  <c r="K202" i="15" s="1"/>
  <c r="K201" i="15"/>
  <c r="F201" i="15"/>
  <c r="F200" i="15"/>
  <c r="K200" i="15" s="1"/>
  <c r="K199" i="15"/>
  <c r="F199" i="15"/>
  <c r="F198" i="15"/>
  <c r="K198" i="15" s="1"/>
  <c r="K197" i="15"/>
  <c r="F197" i="15"/>
  <c r="D197" i="15"/>
  <c r="D198" i="15" s="1"/>
  <c r="D199" i="15" s="1"/>
  <c r="D200" i="15" s="1"/>
  <c r="D201" i="15" s="1"/>
  <c r="D202" i="15" s="1"/>
  <c r="D203" i="15" s="1"/>
  <c r="D204" i="15" s="1"/>
  <c r="D205" i="15" s="1"/>
  <c r="D206" i="15" s="1"/>
  <c r="D207" i="15" s="1"/>
  <c r="D208" i="15" s="1"/>
  <c r="D209" i="15" s="1"/>
  <c r="F196" i="15"/>
  <c r="K196" i="15" s="1"/>
  <c r="D196" i="15"/>
  <c r="K195" i="15"/>
  <c r="L195" i="15" s="1"/>
  <c r="K194" i="15"/>
  <c r="E194" i="15"/>
  <c r="K193" i="15"/>
  <c r="E193" i="15"/>
  <c r="K192" i="15"/>
  <c r="E192" i="15"/>
  <c r="K191" i="15"/>
  <c r="E191" i="15"/>
  <c r="K190" i="15"/>
  <c r="E190" i="15"/>
  <c r="K189" i="15"/>
  <c r="E189" i="15"/>
  <c r="K188" i="15"/>
  <c r="E188" i="15"/>
  <c r="K187" i="15"/>
  <c r="E187" i="15"/>
  <c r="K186" i="15"/>
  <c r="E186" i="15"/>
  <c r="K185" i="15"/>
  <c r="E185" i="15"/>
  <c r="K184" i="15"/>
  <c r="E184" i="15"/>
  <c r="K183" i="15"/>
  <c r="E183" i="15"/>
  <c r="K182" i="15"/>
  <c r="E182" i="15"/>
  <c r="K181" i="15"/>
  <c r="E181" i="15"/>
  <c r="K180" i="15"/>
  <c r="E180" i="15"/>
  <c r="K179" i="15"/>
  <c r="E179" i="15"/>
  <c r="K178" i="15"/>
  <c r="E178" i="15"/>
  <c r="K177" i="15"/>
  <c r="E177" i="15"/>
  <c r="K176" i="15"/>
  <c r="E176" i="15"/>
  <c r="K175" i="15"/>
  <c r="E175" i="15"/>
  <c r="D175" i="15"/>
  <c r="D176" i="15" s="1"/>
  <c r="D177" i="15" s="1"/>
  <c r="D178" i="15" s="1"/>
  <c r="D179" i="15" s="1"/>
  <c r="D180" i="15" s="1"/>
  <c r="D181" i="15" s="1"/>
  <c r="D182" i="15" s="1"/>
  <c r="D183" i="15" s="1"/>
  <c r="D184" i="15" s="1"/>
  <c r="D185" i="15" s="1"/>
  <c r="D186" i="15" s="1"/>
  <c r="D187" i="15" s="1"/>
  <c r="D188" i="15" s="1"/>
  <c r="D189" i="15" s="1"/>
  <c r="D190" i="15" s="1"/>
  <c r="D191" i="15" s="1"/>
  <c r="D192" i="15" s="1"/>
  <c r="D193" i="15" s="1"/>
  <c r="D194" i="15" s="1"/>
  <c r="K174" i="15"/>
  <c r="E174" i="15"/>
  <c r="K173" i="15"/>
  <c r="E173" i="15"/>
  <c r="D173" i="15"/>
  <c r="D174" i="15" s="1"/>
  <c r="K172" i="15"/>
  <c r="L172" i="15" s="1"/>
  <c r="L173" i="15" s="1"/>
  <c r="E172" i="15"/>
  <c r="D172" i="15"/>
  <c r="L171" i="15"/>
  <c r="K171" i="15"/>
  <c r="E171" i="15"/>
  <c r="E170" i="15"/>
  <c r="E169" i="15"/>
  <c r="E168" i="15"/>
  <c r="E167" i="15"/>
  <c r="E166" i="15"/>
  <c r="E165" i="15"/>
  <c r="E164" i="15"/>
  <c r="E163" i="15"/>
  <c r="E162" i="15"/>
  <c r="E161" i="15"/>
  <c r="E160" i="15"/>
  <c r="E159" i="15"/>
  <c r="E158" i="15"/>
  <c r="E157" i="15"/>
  <c r="E156" i="15"/>
  <c r="E155" i="15"/>
  <c r="E154" i="15"/>
  <c r="D154" i="15"/>
  <c r="D155" i="15" s="1"/>
  <c r="D156" i="15" s="1"/>
  <c r="D157" i="15" s="1"/>
  <c r="D158" i="15" s="1"/>
  <c r="D159" i="15" s="1"/>
  <c r="D160" i="15" s="1"/>
  <c r="D161" i="15" s="1"/>
  <c r="D162" i="15" s="1"/>
  <c r="D163" i="15" s="1"/>
  <c r="D164" i="15" s="1"/>
  <c r="D165" i="15" s="1"/>
  <c r="D166" i="15" s="1"/>
  <c r="D167" i="15" s="1"/>
  <c r="D168" i="15" s="1"/>
  <c r="D169" i="15" s="1"/>
  <c r="D170" i="15" s="1"/>
  <c r="E153" i="15"/>
  <c r="D153" i="15"/>
  <c r="E152" i="15"/>
  <c r="D152" i="15"/>
  <c r="F151" i="15"/>
  <c r="F152" i="15" s="1"/>
  <c r="F153" i="15" s="1"/>
  <c r="F154" i="15" s="1"/>
  <c r="F155" i="15" s="1"/>
  <c r="F156" i="15" s="1"/>
  <c r="F157" i="15" s="1"/>
  <c r="F158" i="15" s="1"/>
  <c r="F159" i="15" s="1"/>
  <c r="F160" i="15" s="1"/>
  <c r="F161" i="15" s="1"/>
  <c r="F162" i="15" s="1"/>
  <c r="F163" i="15" s="1"/>
  <c r="F164" i="15" s="1"/>
  <c r="F165" i="15" s="1"/>
  <c r="F166" i="15" s="1"/>
  <c r="F167" i="15" s="1"/>
  <c r="F168" i="15" s="1"/>
  <c r="F169" i="15" s="1"/>
  <c r="F170" i="15" s="1"/>
  <c r="E151" i="15"/>
  <c r="K151" i="15" s="1"/>
  <c r="L151" i="15" s="1"/>
  <c r="D151" i="15"/>
  <c r="L150" i="15"/>
  <c r="G150" i="15"/>
  <c r="G151" i="15" s="1"/>
  <c r="G152" i="15" s="1"/>
  <c r="G153" i="15" s="1"/>
  <c r="G154" i="15" s="1"/>
  <c r="G155" i="15" s="1"/>
  <c r="G156" i="15" s="1"/>
  <c r="G157" i="15" s="1"/>
  <c r="G158" i="15" s="1"/>
  <c r="G159" i="15" s="1"/>
  <c r="G160" i="15" s="1"/>
  <c r="G161" i="15" s="1"/>
  <c r="G162" i="15" s="1"/>
  <c r="G163" i="15" s="1"/>
  <c r="G164" i="15" s="1"/>
  <c r="G165" i="15" s="1"/>
  <c r="G166" i="15" s="1"/>
  <c r="G167" i="15" s="1"/>
  <c r="G168" i="15" s="1"/>
  <c r="G169" i="15" s="1"/>
  <c r="G170" i="15" s="1"/>
  <c r="F150" i="15"/>
  <c r="E150" i="15"/>
  <c r="K150" i="15" s="1"/>
  <c r="K149" i="15"/>
  <c r="K148" i="15"/>
  <c r="K147" i="15"/>
  <c r="K146" i="15"/>
  <c r="K145" i="15"/>
  <c r="K144" i="15"/>
  <c r="K143" i="15"/>
  <c r="K142" i="15"/>
  <c r="K141" i="15"/>
  <c r="K140" i="15"/>
  <c r="K139" i="15"/>
  <c r="K138" i="15"/>
  <c r="K137" i="15"/>
  <c r="K136" i="15"/>
  <c r="K135" i="15"/>
  <c r="K134" i="15"/>
  <c r="K133" i="15"/>
  <c r="K132" i="15"/>
  <c r="K131" i="15"/>
  <c r="K130" i="15"/>
  <c r="D130" i="15"/>
  <c r="D131" i="15" s="1"/>
  <c r="D132" i="15" s="1"/>
  <c r="D133" i="15" s="1"/>
  <c r="D134" i="15" s="1"/>
  <c r="D135" i="15" s="1"/>
  <c r="D136" i="15" s="1"/>
  <c r="D137" i="15" s="1"/>
  <c r="D138" i="15" s="1"/>
  <c r="D139" i="15" s="1"/>
  <c r="D140" i="15" s="1"/>
  <c r="D141" i="15" s="1"/>
  <c r="D142" i="15" s="1"/>
  <c r="D143" i="15" s="1"/>
  <c r="D144" i="15" s="1"/>
  <c r="D145" i="15" s="1"/>
  <c r="D146" i="15" s="1"/>
  <c r="D147" i="15" s="1"/>
  <c r="D148" i="15" s="1"/>
  <c r="D149" i="15" s="1"/>
  <c r="K129" i="15"/>
  <c r="D129" i="15"/>
  <c r="K128" i="15"/>
  <c r="D128" i="15"/>
  <c r="K127" i="15"/>
  <c r="L127" i="15" s="1"/>
  <c r="K126" i="15"/>
  <c r="L126" i="15" s="1"/>
  <c r="E126" i="15"/>
  <c r="L125" i="15"/>
  <c r="K125" i="15"/>
  <c r="K124" i="15"/>
  <c r="K123" i="15"/>
  <c r="K122" i="15"/>
  <c r="K121" i="15"/>
  <c r="K120" i="15"/>
  <c r="K119" i="15"/>
  <c r="K118" i="15"/>
  <c r="K117" i="15"/>
  <c r="L116" i="15"/>
  <c r="L117" i="15" s="1"/>
  <c r="L118" i="15" s="1"/>
  <c r="L119" i="15" s="1"/>
  <c r="L120" i="15" s="1"/>
  <c r="K116" i="15"/>
  <c r="D116" i="15"/>
  <c r="D117" i="15" s="1"/>
  <c r="D118" i="15" s="1"/>
  <c r="D119" i="15" s="1"/>
  <c r="D120" i="15" s="1"/>
  <c r="D121" i="15" s="1"/>
  <c r="D122" i="15" s="1"/>
  <c r="D123" i="15" s="1"/>
  <c r="D124" i="15" s="1"/>
  <c r="K115" i="15"/>
  <c r="L115" i="15" s="1"/>
  <c r="K114" i="15"/>
  <c r="K113" i="15"/>
  <c r="K112" i="15"/>
  <c r="K111" i="15"/>
  <c r="K110" i="15"/>
  <c r="K109" i="15"/>
  <c r="K108" i="15"/>
  <c r="K107" i="15"/>
  <c r="L107" i="15" s="1"/>
  <c r="L108" i="15" s="1"/>
  <c r="L109" i="15" s="1"/>
  <c r="D107" i="15"/>
  <c r="D108" i="15" s="1"/>
  <c r="D109" i="15" s="1"/>
  <c r="D110" i="15" s="1"/>
  <c r="D111" i="15" s="1"/>
  <c r="D112" i="15" s="1"/>
  <c r="D113" i="15" s="1"/>
  <c r="D114" i="15" s="1"/>
  <c r="L106" i="15"/>
  <c r="K106" i="15"/>
  <c r="D106" i="15"/>
  <c r="L105" i="15"/>
  <c r="K105" i="15"/>
  <c r="K104" i="15"/>
  <c r="K103" i="15"/>
  <c r="K102" i="15"/>
  <c r="K101" i="15"/>
  <c r="K100" i="15"/>
  <c r="K99" i="15"/>
  <c r="L99" i="15" s="1"/>
  <c r="D99" i="15"/>
  <c r="D100" i="15" s="1"/>
  <c r="D101" i="15" s="1"/>
  <c r="D102" i="15" s="1"/>
  <c r="D103" i="15" s="1"/>
  <c r="D104" i="15" s="1"/>
  <c r="K98" i="15"/>
  <c r="D98" i="15"/>
  <c r="K97" i="15"/>
  <c r="D97" i="15"/>
  <c r="K96" i="15"/>
  <c r="L96" i="15" s="1"/>
  <c r="L97" i="15" s="1"/>
  <c r="L98" i="15" s="1"/>
  <c r="K95" i="15"/>
  <c r="K94" i="15"/>
  <c r="K93" i="15"/>
  <c r="K92" i="15"/>
  <c r="K91" i="15"/>
  <c r="K90" i="15"/>
  <c r="K89" i="15"/>
  <c r="L89" i="15" s="1"/>
  <c r="L90" i="15" s="1"/>
  <c r="L91" i="15" s="1"/>
  <c r="L92" i="15" s="1"/>
  <c r="K88" i="15"/>
  <c r="L88" i="15" s="1"/>
  <c r="D88" i="15"/>
  <c r="D89" i="15" s="1"/>
  <c r="D90" i="15" s="1"/>
  <c r="D91" i="15" s="1"/>
  <c r="D92" i="15" s="1"/>
  <c r="D93" i="15" s="1"/>
  <c r="D94" i="15" s="1"/>
  <c r="D95" i="15" s="1"/>
  <c r="L87" i="15"/>
  <c r="K87" i="15"/>
  <c r="K86" i="15"/>
  <c r="K85" i="15"/>
  <c r="K84" i="15"/>
  <c r="K83" i="15"/>
  <c r="K82" i="15"/>
  <c r="K81" i="15"/>
  <c r="K80" i="15"/>
  <c r="K79" i="15"/>
  <c r="D79" i="15"/>
  <c r="D80" i="15" s="1"/>
  <c r="D81" i="15" s="1"/>
  <c r="D82" i="15" s="1"/>
  <c r="D83" i="15" s="1"/>
  <c r="D84" i="15" s="1"/>
  <c r="D85" i="15" s="1"/>
  <c r="D86" i="15" s="1"/>
  <c r="K78" i="15"/>
  <c r="L78" i="15" s="1"/>
  <c r="L79" i="15" s="1"/>
  <c r="L80" i="15" s="1"/>
  <c r="L81" i="15" s="1"/>
  <c r="K77" i="15"/>
  <c r="K76" i="15"/>
  <c r="K75" i="15"/>
  <c r="K74" i="15"/>
  <c r="K73" i="15"/>
  <c r="K72" i="15"/>
  <c r="K71" i="15"/>
  <c r="L71" i="15" s="1"/>
  <c r="L72" i="15" s="1"/>
  <c r="D71" i="15"/>
  <c r="D72" i="15" s="1"/>
  <c r="D73" i="15" s="1"/>
  <c r="D74" i="15" s="1"/>
  <c r="D75" i="15" s="1"/>
  <c r="D76" i="15" s="1"/>
  <c r="D77" i="15" s="1"/>
  <c r="L70" i="15"/>
  <c r="K70" i="15"/>
  <c r="D70" i="15"/>
  <c r="L69" i="15"/>
  <c r="K69" i="15"/>
  <c r="K68" i="15"/>
  <c r="K67" i="15"/>
  <c r="K66" i="15"/>
  <c r="K65" i="15"/>
  <c r="K64" i="15"/>
  <c r="K63" i="15"/>
  <c r="K62" i="15"/>
  <c r="K61" i="15"/>
  <c r="K60" i="15"/>
  <c r="K59" i="15"/>
  <c r="K58" i="15"/>
  <c r="K57" i="15"/>
  <c r="K56" i="15"/>
  <c r="K55" i="15"/>
  <c r="K54" i="15"/>
  <c r="L54" i="15" s="1"/>
  <c r="K53" i="15"/>
  <c r="K52" i="15"/>
  <c r="L52" i="15" s="1"/>
  <c r="L53" i="15" s="1"/>
  <c r="D52" i="15"/>
  <c r="D53" i="15" s="1"/>
  <c r="D54" i="15" s="1"/>
  <c r="D55" i="15" s="1"/>
  <c r="D56" i="15" s="1"/>
  <c r="D57" i="15" s="1"/>
  <c r="D58" i="15" s="1"/>
  <c r="D59" i="15" s="1"/>
  <c r="D60" i="15" s="1"/>
  <c r="D61" i="15" s="1"/>
  <c r="D62" i="15" s="1"/>
  <c r="D63" i="15" s="1"/>
  <c r="D64" i="15" s="1"/>
  <c r="D65" i="15" s="1"/>
  <c r="D66" i="15" s="1"/>
  <c r="D67" i="15" s="1"/>
  <c r="D68" i="15" s="1"/>
  <c r="L51" i="15"/>
  <c r="K51" i="15"/>
  <c r="D51" i="15"/>
  <c r="L50" i="15"/>
  <c r="K50" i="15"/>
  <c r="K49" i="15"/>
  <c r="E49" i="15"/>
  <c r="K48" i="15"/>
  <c r="E48" i="15"/>
  <c r="K47" i="15"/>
  <c r="E47" i="15"/>
  <c r="K46" i="15"/>
  <c r="E46" i="15"/>
  <c r="K45" i="15"/>
  <c r="E45" i="15"/>
  <c r="K44" i="15"/>
  <c r="E44" i="15"/>
  <c r="K43" i="15"/>
  <c r="E43" i="15"/>
  <c r="K42" i="15"/>
  <c r="E42" i="15"/>
  <c r="K41" i="15"/>
  <c r="E41" i="15"/>
  <c r="K40" i="15"/>
  <c r="E40" i="15"/>
  <c r="K39" i="15"/>
  <c r="E39" i="15"/>
  <c r="K38" i="15"/>
  <c r="E38" i="15"/>
  <c r="K37" i="15"/>
  <c r="E37" i="15"/>
  <c r="K36" i="15"/>
  <c r="E36" i="15"/>
  <c r="K35" i="15"/>
  <c r="E35" i="15"/>
  <c r="K34" i="15"/>
  <c r="E34" i="15"/>
  <c r="K33" i="15"/>
  <c r="E33" i="15"/>
  <c r="K32" i="15"/>
  <c r="E32" i="15"/>
  <c r="K31" i="15"/>
  <c r="E31" i="15"/>
  <c r="K30" i="15"/>
  <c r="E30" i="15"/>
  <c r="K29" i="15"/>
  <c r="L29" i="15" s="1"/>
  <c r="E29" i="15"/>
  <c r="D29" i="15"/>
  <c r="D30" i="15" s="1"/>
  <c r="D31" i="15" s="1"/>
  <c r="D32" i="15" s="1"/>
  <c r="D33" i="15" s="1"/>
  <c r="D34" i="15" s="1"/>
  <c r="D35" i="15" s="1"/>
  <c r="D36" i="15" s="1"/>
  <c r="D37" i="15" s="1"/>
  <c r="D38" i="15" s="1"/>
  <c r="D39" i="15" s="1"/>
  <c r="D40" i="15" s="1"/>
  <c r="D41" i="15" s="1"/>
  <c r="D42" i="15" s="1"/>
  <c r="D43" i="15" s="1"/>
  <c r="D44" i="15" s="1"/>
  <c r="D45" i="15" s="1"/>
  <c r="D46" i="15" s="1"/>
  <c r="D47" i="15" s="1"/>
  <c r="D48" i="15" s="1"/>
  <c r="D49" i="15" s="1"/>
  <c r="K28" i="15"/>
  <c r="L28" i="15" s="1"/>
  <c r="E28" i="15"/>
  <c r="E27" i="15"/>
  <c r="K27" i="15" s="1"/>
  <c r="E26" i="15"/>
  <c r="K26" i="15" s="1"/>
  <c r="E25" i="15"/>
  <c r="K25" i="15" s="1"/>
  <c r="E24" i="15"/>
  <c r="K24" i="15" s="1"/>
  <c r="E23" i="15"/>
  <c r="K23" i="15" s="1"/>
  <c r="E22" i="15"/>
  <c r="K22" i="15" s="1"/>
  <c r="E21" i="15"/>
  <c r="K21" i="15" s="1"/>
  <c r="E20" i="15"/>
  <c r="K20" i="15" s="1"/>
  <c r="E19" i="15"/>
  <c r="K19" i="15" s="1"/>
  <c r="E18" i="15"/>
  <c r="K18" i="15" s="1"/>
  <c r="E17" i="15"/>
  <c r="K17" i="15" s="1"/>
  <c r="E16" i="15"/>
  <c r="K16" i="15" s="1"/>
  <c r="E15" i="15"/>
  <c r="K15" i="15" s="1"/>
  <c r="E14" i="15"/>
  <c r="K14" i="15" s="1"/>
  <c r="E13" i="15"/>
  <c r="K13" i="15" s="1"/>
  <c r="E12" i="15"/>
  <c r="K12" i="15" s="1"/>
  <c r="E11" i="15"/>
  <c r="K11" i="15" s="1"/>
  <c r="E10" i="15"/>
  <c r="K10" i="15" s="1"/>
  <c r="E9" i="15"/>
  <c r="K9" i="15" s="1"/>
  <c r="E8" i="15"/>
  <c r="K8" i="15" s="1"/>
  <c r="E7" i="15"/>
  <c r="K7" i="15" s="1"/>
  <c r="D7" i="15"/>
  <c r="D8" i="15" s="1"/>
  <c r="D9" i="15" s="1"/>
  <c r="D10" i="15" s="1"/>
  <c r="D11" i="15" s="1"/>
  <c r="D12" i="15" s="1"/>
  <c r="D13" i="15" s="1"/>
  <c r="D14" i="15" s="1"/>
  <c r="D15" i="15" s="1"/>
  <c r="D16" i="15" s="1"/>
  <c r="D17" i="15" s="1"/>
  <c r="D18" i="15" s="1"/>
  <c r="D19" i="15" s="1"/>
  <c r="D20" i="15" s="1"/>
  <c r="D21" i="15" s="1"/>
  <c r="D22" i="15" s="1"/>
  <c r="D23" i="15" s="1"/>
  <c r="D24" i="15" s="1"/>
  <c r="D25" i="15" s="1"/>
  <c r="D26" i="15" s="1"/>
  <c r="D27" i="15" s="1"/>
  <c r="E6" i="15"/>
  <c r="K6" i="15" s="1"/>
  <c r="L6" i="15" s="1"/>
  <c r="E5" i="15"/>
  <c r="K5" i="15" s="1"/>
  <c r="L5" i="15" s="1"/>
  <c r="D5" i="15"/>
  <c r="K4" i="15"/>
  <c r="E3" i="15"/>
  <c r="K3" i="15" s="1"/>
  <c r="L3" i="15" s="1"/>
  <c r="D3" i="15"/>
  <c r="K2" i="15"/>
  <c r="G40" i="14"/>
  <c r="F40" i="14"/>
  <c r="E40" i="14"/>
  <c r="D40" i="14"/>
  <c r="G39" i="14"/>
  <c r="F39" i="14"/>
  <c r="Z38" i="14"/>
  <c r="G38" i="14"/>
  <c r="F38" i="14"/>
  <c r="F37" i="14"/>
  <c r="E37" i="14"/>
  <c r="Z37" i="14" s="1"/>
  <c r="D37" i="14"/>
  <c r="F36" i="14"/>
  <c r="E36" i="14"/>
  <c r="Z36" i="14" s="1"/>
  <c r="D36" i="14"/>
  <c r="F35" i="14"/>
  <c r="E35" i="14"/>
  <c r="D35" i="14"/>
  <c r="F34" i="14"/>
  <c r="E34" i="14"/>
  <c r="Z34" i="14" s="1"/>
  <c r="D34" i="14"/>
  <c r="F33" i="14"/>
  <c r="E33" i="14"/>
  <c r="Z33" i="14" s="1"/>
  <c r="D33" i="14"/>
  <c r="F32" i="14"/>
  <c r="E32" i="14"/>
  <c r="G32" i="14" s="1"/>
  <c r="D32" i="14"/>
  <c r="C32" i="14"/>
  <c r="G31" i="14"/>
  <c r="F31" i="14"/>
  <c r="E31" i="14"/>
  <c r="D31" i="14"/>
  <c r="G30" i="14"/>
  <c r="F30" i="14"/>
  <c r="E30" i="14"/>
  <c r="Z30" i="14" s="1"/>
  <c r="D30" i="14"/>
  <c r="G29" i="14"/>
  <c r="F29" i="14"/>
  <c r="E29" i="14"/>
  <c r="Z29" i="14" s="1"/>
  <c r="D29" i="14"/>
  <c r="G28" i="14"/>
  <c r="F28" i="14"/>
  <c r="E28" i="14"/>
  <c r="Z28" i="14" s="1"/>
  <c r="D28" i="14"/>
  <c r="G27" i="14"/>
  <c r="F27" i="14"/>
  <c r="E27" i="14"/>
  <c r="D27" i="14"/>
  <c r="G26" i="14"/>
  <c r="F26" i="14"/>
  <c r="E26" i="14"/>
  <c r="Z26" i="14" s="1"/>
  <c r="D26" i="14"/>
  <c r="G25" i="14"/>
  <c r="F25" i="14"/>
  <c r="E25" i="14"/>
  <c r="Z25" i="14" s="1"/>
  <c r="D25" i="14"/>
  <c r="G24" i="14"/>
  <c r="F24" i="14"/>
  <c r="E24" i="14"/>
  <c r="D24" i="14"/>
  <c r="G23" i="14"/>
  <c r="E23" i="14"/>
  <c r="D23" i="14"/>
  <c r="E22" i="14"/>
  <c r="Z22" i="14" s="1"/>
  <c r="D22" i="14"/>
  <c r="F21" i="14"/>
  <c r="E21" i="14"/>
  <c r="Z21" i="14" s="1"/>
  <c r="D21" i="14"/>
  <c r="F20" i="14"/>
  <c r="E20" i="14"/>
  <c r="Z20" i="14" s="1"/>
  <c r="D20" i="14"/>
  <c r="F19" i="14"/>
  <c r="E19" i="14"/>
  <c r="D19" i="14"/>
  <c r="F18" i="14"/>
  <c r="E18" i="14"/>
  <c r="Z18" i="14" s="1"/>
  <c r="D18" i="14"/>
  <c r="F17" i="14"/>
  <c r="E17" i="14"/>
  <c r="D17" i="14"/>
  <c r="F16" i="14"/>
  <c r="D16" i="14"/>
  <c r="E15" i="14"/>
  <c r="G15" i="14" s="1"/>
  <c r="D15" i="14"/>
  <c r="E14" i="14"/>
  <c r="G14" i="14" s="1"/>
  <c r="D14" i="14"/>
  <c r="E13" i="14"/>
  <c r="G13" i="14" s="1"/>
  <c r="D13" i="14"/>
  <c r="G12" i="14"/>
  <c r="F12" i="14"/>
  <c r="G11" i="14"/>
  <c r="E11" i="14"/>
  <c r="D11" i="14"/>
  <c r="F11" i="14" s="1"/>
  <c r="Z10" i="14"/>
  <c r="G10" i="14"/>
  <c r="E10" i="14"/>
  <c r="D10" i="14"/>
  <c r="F10" i="14" s="1"/>
  <c r="G9" i="14"/>
  <c r="E9" i="14"/>
  <c r="D9" i="14"/>
  <c r="F9" i="14" s="1"/>
  <c r="G8" i="14"/>
  <c r="E8" i="14"/>
  <c r="D8" i="14"/>
  <c r="F8" i="14" s="1"/>
  <c r="G7" i="14"/>
  <c r="E7" i="14"/>
  <c r="D7" i="14"/>
  <c r="F7" i="14" s="1"/>
  <c r="Z6" i="14"/>
  <c r="G6" i="14"/>
  <c r="E6" i="14"/>
  <c r="D6" i="14"/>
  <c r="F6" i="14" s="1"/>
  <c r="J5" i="14"/>
  <c r="G5" i="14"/>
  <c r="E5" i="14"/>
  <c r="D5" i="14"/>
  <c r="F5" i="14" s="1"/>
  <c r="G4" i="14"/>
  <c r="E4" i="14"/>
  <c r="D4" i="14"/>
  <c r="F4" i="14" s="1"/>
  <c r="Z3" i="14"/>
  <c r="G3" i="14"/>
  <c r="F3" i="14"/>
  <c r="E3" i="14"/>
  <c r="D3" i="14"/>
  <c r="P82" i="13"/>
  <c r="O82" i="13"/>
  <c r="M82" i="13"/>
  <c r="I82" i="13"/>
  <c r="P81" i="13"/>
  <c r="M81" i="13"/>
  <c r="I81" i="13"/>
  <c r="O81" i="13" s="1"/>
  <c r="P80" i="13"/>
  <c r="O80" i="13"/>
  <c r="M80" i="13"/>
  <c r="I80" i="13"/>
  <c r="K79" i="13"/>
  <c r="M79" i="13" s="1"/>
  <c r="I79" i="13"/>
  <c r="O79" i="13" s="1"/>
  <c r="P78" i="13"/>
  <c r="O78" i="13"/>
  <c r="M78" i="13"/>
  <c r="I78" i="13"/>
  <c r="M77" i="13"/>
  <c r="I77" i="13"/>
  <c r="P77" i="13" s="1"/>
  <c r="C77" i="13"/>
  <c r="P76" i="13"/>
  <c r="M76" i="13"/>
  <c r="O76" i="13" s="1"/>
  <c r="I76" i="13"/>
  <c r="N75" i="13"/>
  <c r="M75" i="13"/>
  <c r="I75" i="13"/>
  <c r="P75" i="13" s="1"/>
  <c r="P74" i="13"/>
  <c r="O74" i="13"/>
  <c r="M74" i="13"/>
  <c r="I74" i="13"/>
  <c r="O73" i="13"/>
  <c r="M73" i="13"/>
  <c r="I73" i="13"/>
  <c r="P73" i="13" s="1"/>
  <c r="N72" i="13"/>
  <c r="M72" i="13"/>
  <c r="K72" i="13"/>
  <c r="I72" i="13"/>
  <c r="P72" i="13" s="1"/>
  <c r="C72" i="13"/>
  <c r="P71" i="13"/>
  <c r="M71" i="13"/>
  <c r="I71" i="13"/>
  <c r="O71" i="13" s="1"/>
  <c r="N70" i="13"/>
  <c r="M70" i="13"/>
  <c r="I70" i="13"/>
  <c r="P70" i="13" s="1"/>
  <c r="C70" i="13"/>
  <c r="P69" i="13"/>
  <c r="O69" i="13"/>
  <c r="M69" i="13"/>
  <c r="I69" i="13"/>
  <c r="P68" i="13"/>
  <c r="M68" i="13"/>
  <c r="O68" i="13" s="1"/>
  <c r="I68" i="13"/>
  <c r="M67" i="13"/>
  <c r="N67" i="13" s="1"/>
  <c r="I67" i="13"/>
  <c r="O67" i="13" s="1"/>
  <c r="P66" i="13"/>
  <c r="O66" i="13"/>
  <c r="N66" i="13"/>
  <c r="M66" i="13"/>
  <c r="I66" i="13"/>
  <c r="M65" i="13"/>
  <c r="I65" i="13"/>
  <c r="P65" i="13" s="1"/>
  <c r="P64" i="13"/>
  <c r="N64" i="13"/>
  <c r="M64" i="13"/>
  <c r="O64" i="13" s="1"/>
  <c r="I64" i="13"/>
  <c r="O63" i="13"/>
  <c r="M63" i="13"/>
  <c r="N63" i="13" s="1"/>
  <c r="I63" i="13"/>
  <c r="P63" i="13" s="1"/>
  <c r="M62" i="13"/>
  <c r="N62" i="13" s="1"/>
  <c r="I62" i="13"/>
  <c r="O62" i="13" s="1"/>
  <c r="P61" i="13"/>
  <c r="O61" i="13"/>
  <c r="N61" i="13"/>
  <c r="M61" i="13"/>
  <c r="I61" i="13"/>
  <c r="C61" i="13"/>
  <c r="O60" i="13"/>
  <c r="M60" i="13"/>
  <c r="I60" i="13"/>
  <c r="P60" i="13" s="1"/>
  <c r="C60" i="13"/>
  <c r="M59" i="13"/>
  <c r="N59" i="13" s="1"/>
  <c r="I59" i="13"/>
  <c r="O59" i="13" s="1"/>
  <c r="O58" i="13"/>
  <c r="M58" i="13"/>
  <c r="N58" i="13" s="1"/>
  <c r="P58" i="13" s="1"/>
  <c r="I58" i="13"/>
  <c r="N57" i="13"/>
  <c r="M57" i="13"/>
  <c r="I57" i="13"/>
  <c r="P57" i="13" s="1"/>
  <c r="C57" i="13"/>
  <c r="K56" i="13"/>
  <c r="N56" i="13" s="1"/>
  <c r="C56" i="13"/>
  <c r="I56" i="13" s="1"/>
  <c r="N55" i="13"/>
  <c r="K55" i="13"/>
  <c r="M55" i="13" s="1"/>
  <c r="I55" i="13"/>
  <c r="P55" i="13" s="1"/>
  <c r="C55" i="13"/>
  <c r="P54" i="13"/>
  <c r="M54" i="13"/>
  <c r="I54" i="13"/>
  <c r="O54" i="13" s="1"/>
  <c r="C54" i="13"/>
  <c r="O53" i="13"/>
  <c r="M53" i="13"/>
  <c r="N53" i="13" s="1"/>
  <c r="I53" i="13"/>
  <c r="M52" i="13"/>
  <c r="N52" i="13" s="1"/>
  <c r="I52" i="13"/>
  <c r="O52" i="13" s="1"/>
  <c r="E52" i="13"/>
  <c r="C52" i="13"/>
  <c r="J51" i="13"/>
  <c r="M51" i="13" s="1"/>
  <c r="N51" i="13" s="1"/>
  <c r="I51" i="13"/>
  <c r="P51" i="13" s="1"/>
  <c r="D51" i="13"/>
  <c r="M50" i="13"/>
  <c r="N50" i="13" s="1"/>
  <c r="P50" i="13" s="1"/>
  <c r="I50" i="13"/>
  <c r="O50" i="13" s="1"/>
  <c r="O49" i="13"/>
  <c r="M49" i="13"/>
  <c r="I49" i="13"/>
  <c r="P49" i="13" s="1"/>
  <c r="N48" i="13"/>
  <c r="M48" i="13"/>
  <c r="I48" i="13"/>
  <c r="P48" i="13" s="1"/>
  <c r="N47" i="13"/>
  <c r="M47" i="13"/>
  <c r="E47" i="13"/>
  <c r="C47" i="13"/>
  <c r="I47" i="13" s="1"/>
  <c r="O46" i="13"/>
  <c r="N46" i="13"/>
  <c r="M46" i="13"/>
  <c r="I46" i="13"/>
  <c r="P46" i="13" s="1"/>
  <c r="M45" i="13"/>
  <c r="C45" i="13"/>
  <c r="I45" i="13" s="1"/>
  <c r="M44" i="13"/>
  <c r="E44" i="13"/>
  <c r="D44" i="13"/>
  <c r="C44" i="13"/>
  <c r="I44" i="13" s="1"/>
  <c r="P43" i="13"/>
  <c r="O43" i="13"/>
  <c r="N43" i="13"/>
  <c r="M43" i="13"/>
  <c r="I43" i="13"/>
  <c r="N42" i="13"/>
  <c r="M42" i="13"/>
  <c r="D42" i="13"/>
  <c r="I42" i="13" s="1"/>
  <c r="N41" i="13"/>
  <c r="M41" i="13"/>
  <c r="C41" i="13"/>
  <c r="I41" i="13" s="1"/>
  <c r="O40" i="13"/>
  <c r="M40" i="13"/>
  <c r="N40" i="13" s="1"/>
  <c r="P40" i="13" s="1"/>
  <c r="I40" i="13"/>
  <c r="N39" i="13"/>
  <c r="K39" i="13"/>
  <c r="M39" i="13" s="1"/>
  <c r="C39" i="13"/>
  <c r="I39" i="13" s="1"/>
  <c r="M38" i="13"/>
  <c r="N38" i="13" s="1"/>
  <c r="K38" i="13"/>
  <c r="I38" i="13"/>
  <c r="C38" i="13"/>
  <c r="M37" i="13"/>
  <c r="N37" i="13" s="1"/>
  <c r="I37" i="13"/>
  <c r="O37" i="13" s="1"/>
  <c r="C37" i="13"/>
  <c r="P36" i="13"/>
  <c r="M36" i="13"/>
  <c r="I36" i="13"/>
  <c r="O36" i="13" s="1"/>
  <c r="N35" i="13"/>
  <c r="M35" i="13"/>
  <c r="I35" i="13"/>
  <c r="P35" i="13" s="1"/>
  <c r="N34" i="13"/>
  <c r="M34" i="13"/>
  <c r="E34" i="13"/>
  <c r="C34" i="13"/>
  <c r="I34" i="13" s="1"/>
  <c r="M33" i="13"/>
  <c r="N33" i="13" s="1"/>
  <c r="P33" i="13" s="1"/>
  <c r="I33" i="13"/>
  <c r="O33" i="13" s="1"/>
  <c r="M32" i="13"/>
  <c r="N32" i="13" s="1"/>
  <c r="C32" i="13"/>
  <c r="I32" i="13" s="1"/>
  <c r="M31" i="13"/>
  <c r="N31" i="13" s="1"/>
  <c r="I31" i="13"/>
  <c r="P30" i="13"/>
  <c r="N30" i="13"/>
  <c r="M30" i="13"/>
  <c r="I30" i="13"/>
  <c r="O30" i="13" s="1"/>
  <c r="C30" i="13"/>
  <c r="K29" i="13"/>
  <c r="M29" i="13" s="1"/>
  <c r="I29" i="13"/>
  <c r="N28" i="13"/>
  <c r="M28" i="13"/>
  <c r="I28" i="13"/>
  <c r="P28" i="13" s="1"/>
  <c r="D28" i="13"/>
  <c r="C28" i="13"/>
  <c r="M27" i="13"/>
  <c r="K27" i="13"/>
  <c r="N27" i="13" s="1"/>
  <c r="I27" i="13"/>
  <c r="P27" i="13" s="1"/>
  <c r="N26" i="13"/>
  <c r="M26" i="13"/>
  <c r="C26" i="13"/>
  <c r="I26" i="13" s="1"/>
  <c r="P25" i="13"/>
  <c r="O25" i="13"/>
  <c r="N25" i="13"/>
  <c r="M25" i="13"/>
  <c r="I25" i="13"/>
  <c r="C25" i="13"/>
  <c r="N24" i="13"/>
  <c r="M24" i="13"/>
  <c r="D24" i="13"/>
  <c r="C24" i="13"/>
  <c r="I24" i="13" s="1"/>
  <c r="N23" i="13"/>
  <c r="M23" i="13"/>
  <c r="I23" i="13"/>
  <c r="P23" i="13" s="1"/>
  <c r="N22" i="13"/>
  <c r="M22" i="13"/>
  <c r="D22" i="13"/>
  <c r="C22" i="13"/>
  <c r="I22" i="13" s="1"/>
  <c r="P21" i="13"/>
  <c r="N21" i="13"/>
  <c r="M21" i="13"/>
  <c r="I21" i="13"/>
  <c r="O21" i="13" s="1"/>
  <c r="C21" i="13"/>
  <c r="N20" i="13"/>
  <c r="M20" i="13"/>
  <c r="C20" i="13"/>
  <c r="I20" i="13" s="1"/>
  <c r="N19" i="13"/>
  <c r="M19" i="13"/>
  <c r="I19" i="13"/>
  <c r="P19" i="13" s="1"/>
  <c r="D19" i="13"/>
  <c r="C19" i="13"/>
  <c r="M18" i="13"/>
  <c r="K18" i="13"/>
  <c r="N18" i="13" s="1"/>
  <c r="I18" i="13"/>
  <c r="C18" i="13"/>
  <c r="O17" i="13"/>
  <c r="M17" i="13"/>
  <c r="I17" i="13"/>
  <c r="P17" i="13" s="1"/>
  <c r="N16" i="13"/>
  <c r="M16" i="13"/>
  <c r="C16" i="13"/>
  <c r="I16" i="13" s="1"/>
  <c r="O16" i="13" s="1"/>
  <c r="N15" i="13"/>
  <c r="K15" i="13"/>
  <c r="M15" i="13" s="1"/>
  <c r="I15" i="13"/>
  <c r="C15" i="13"/>
  <c r="N14" i="13"/>
  <c r="M14" i="13"/>
  <c r="C14" i="13"/>
  <c r="I14" i="13" s="1"/>
  <c r="N13" i="13"/>
  <c r="K13" i="13"/>
  <c r="M13" i="13" s="1"/>
  <c r="D13" i="13"/>
  <c r="C13" i="13"/>
  <c r="I13" i="13" s="1"/>
  <c r="N12" i="13"/>
  <c r="M12" i="13"/>
  <c r="I12" i="13"/>
  <c r="P12" i="13" s="1"/>
  <c r="O11" i="13"/>
  <c r="N11" i="13"/>
  <c r="P11" i="13" s="1"/>
  <c r="M11" i="13"/>
  <c r="I11" i="13"/>
  <c r="M10" i="13"/>
  <c r="K10" i="13"/>
  <c r="N10" i="13" s="1"/>
  <c r="I10" i="13"/>
  <c r="C10" i="13"/>
  <c r="M9" i="13"/>
  <c r="N9" i="13" s="1"/>
  <c r="I9" i="13"/>
  <c r="O8" i="13"/>
  <c r="M8" i="13"/>
  <c r="N8" i="13" s="1"/>
  <c r="P8" i="13" s="1"/>
  <c r="I8" i="13"/>
  <c r="C8" i="13"/>
  <c r="O7" i="13"/>
  <c r="M7" i="13"/>
  <c r="N7" i="13" s="1"/>
  <c r="I7" i="13"/>
  <c r="M6" i="13"/>
  <c r="N6" i="13" s="1"/>
  <c r="I6" i="13"/>
  <c r="C6" i="13"/>
  <c r="P5" i="13"/>
  <c r="M5" i="13"/>
  <c r="I5" i="13"/>
  <c r="M4" i="13"/>
  <c r="N4" i="13" s="1"/>
  <c r="I4" i="13"/>
  <c r="M3" i="13"/>
  <c r="N3" i="13" s="1"/>
  <c r="P3" i="13" s="1"/>
  <c r="I3" i="13"/>
  <c r="M2" i="13"/>
  <c r="N2" i="13" s="1"/>
  <c r="C2" i="13"/>
  <c r="I2" i="13" s="1"/>
  <c r="E81" i="12"/>
  <c r="D81" i="12"/>
  <c r="D80" i="12"/>
  <c r="E80" i="12" s="1"/>
  <c r="D79" i="12"/>
  <c r="E79" i="12" s="1"/>
  <c r="D78" i="12"/>
  <c r="E78" i="12" s="1"/>
  <c r="E77" i="12"/>
  <c r="D77" i="12"/>
  <c r="D76" i="12"/>
  <c r="E76" i="12" s="1"/>
  <c r="D75" i="12"/>
  <c r="E75" i="12" s="1"/>
  <c r="E74" i="12"/>
  <c r="D73" i="12"/>
  <c r="E73" i="12" s="1"/>
  <c r="D72" i="12"/>
  <c r="E72" i="12" s="1"/>
  <c r="E71" i="12"/>
  <c r="D71" i="12"/>
  <c r="E70" i="12"/>
  <c r="E69" i="12"/>
  <c r="E68" i="12"/>
  <c r="E67" i="12"/>
  <c r="E66" i="12"/>
  <c r="D65" i="12"/>
  <c r="E65" i="12" s="1"/>
  <c r="E64" i="12"/>
  <c r="E63" i="12"/>
  <c r="E62" i="12"/>
  <c r="E61" i="12"/>
  <c r="E60" i="12"/>
  <c r="E59" i="12"/>
  <c r="E58" i="12"/>
  <c r="E57" i="12"/>
  <c r="E56" i="12"/>
  <c r="E55" i="12"/>
  <c r="E54" i="12"/>
  <c r="D53" i="12"/>
  <c r="E53" i="12" s="1"/>
  <c r="D52" i="12"/>
  <c r="E52" i="12" s="1"/>
  <c r="E51" i="12"/>
  <c r="E50" i="12"/>
  <c r="E49" i="12"/>
  <c r="E48" i="12"/>
  <c r="E47" i="12"/>
  <c r="E46" i="12"/>
  <c r="E45" i="12"/>
  <c r="E44" i="12"/>
  <c r="E43" i="12"/>
  <c r="E42" i="12"/>
  <c r="E41" i="12"/>
  <c r="D41" i="12"/>
  <c r="E40" i="12"/>
  <c r="E39" i="12"/>
  <c r="E38" i="12"/>
  <c r="E37" i="12"/>
  <c r="E36" i="12"/>
  <c r="E35" i="12"/>
  <c r="E34" i="12"/>
  <c r="D34" i="12"/>
  <c r="D33" i="12"/>
  <c r="E33" i="12" s="1"/>
  <c r="E32" i="12"/>
  <c r="E31" i="12"/>
  <c r="E30" i="12"/>
  <c r="E29" i="12"/>
  <c r="E28" i="12"/>
  <c r="E27" i="12"/>
  <c r="E26" i="12"/>
  <c r="E25" i="12"/>
  <c r="E24" i="12"/>
  <c r="E23" i="12"/>
  <c r="E22" i="12"/>
  <c r="E21" i="12"/>
  <c r="E20" i="12"/>
  <c r="E19" i="12"/>
  <c r="E18" i="12"/>
  <c r="E17" i="12"/>
  <c r="E16" i="12"/>
  <c r="E15" i="12"/>
  <c r="E14" i="12"/>
  <c r="E13" i="12"/>
  <c r="E12" i="12"/>
  <c r="E11" i="12"/>
  <c r="E10" i="12"/>
  <c r="E9" i="12"/>
  <c r="E8" i="12"/>
  <c r="E7" i="12"/>
  <c r="E6" i="12"/>
  <c r="E5" i="12"/>
  <c r="E4" i="12"/>
  <c r="D3" i="12"/>
  <c r="E3" i="12" s="1"/>
  <c r="E2" i="12"/>
  <c r="H210" i="11"/>
  <c r="G210" i="11"/>
  <c r="F210" i="11"/>
  <c r="H209" i="11"/>
  <c r="G208" i="11"/>
  <c r="F208" i="11"/>
  <c r="H207" i="11"/>
  <c r="H208" i="11" s="1"/>
  <c r="H206" i="11"/>
  <c r="G206" i="11"/>
  <c r="F206" i="11"/>
  <c r="H205" i="11"/>
  <c r="H204" i="11"/>
  <c r="F204" i="11"/>
  <c r="H203" i="11"/>
  <c r="H202" i="11"/>
  <c r="G202" i="11"/>
  <c r="F202" i="11"/>
  <c r="H201" i="11"/>
  <c r="G200" i="11"/>
  <c r="F200" i="11"/>
  <c r="H198" i="11"/>
  <c r="H199" i="11" s="1"/>
  <c r="H197" i="11"/>
  <c r="G197" i="11"/>
  <c r="F197" i="11"/>
  <c r="H196" i="11"/>
  <c r="G195" i="11"/>
  <c r="G194" i="11"/>
  <c r="G193" i="11"/>
  <c r="G192" i="11"/>
  <c r="F192" i="11"/>
  <c r="F194" i="11" s="1"/>
  <c r="F195" i="11" s="1"/>
  <c r="H191" i="11"/>
  <c r="H192" i="11" s="1"/>
  <c r="H193" i="11" s="1"/>
  <c r="H194" i="11" s="1"/>
  <c r="H195" i="11" s="1"/>
  <c r="G191" i="11"/>
  <c r="F191" i="11"/>
  <c r="H190" i="11"/>
  <c r="G190" i="11"/>
  <c r="G189" i="11"/>
  <c r="F189" i="11"/>
  <c r="H188" i="11"/>
  <c r="H189" i="11" s="1"/>
  <c r="G187" i="11"/>
  <c r="G185" i="11"/>
  <c r="G184" i="11"/>
  <c r="G183" i="11"/>
  <c r="H183" i="11" s="1"/>
  <c r="H184" i="11" s="1"/>
  <c r="G182" i="11"/>
  <c r="H182" i="11" s="1"/>
  <c r="G181" i="11"/>
  <c r="H181" i="11" s="1"/>
  <c r="H180" i="11"/>
  <c r="F180" i="11"/>
  <c r="F181" i="11" s="1"/>
  <c r="F182" i="11" s="1"/>
  <c r="F183" i="11" s="1"/>
  <c r="F184" i="11" s="1"/>
  <c r="F185" i="11" s="1"/>
  <c r="F186" i="11" s="1"/>
  <c r="F187" i="11" s="1"/>
  <c r="H179" i="11"/>
  <c r="G174" i="11"/>
  <c r="G173" i="11"/>
  <c r="G169" i="11"/>
  <c r="G168" i="11"/>
  <c r="H168" i="11" s="1"/>
  <c r="F166" i="11"/>
  <c r="F167" i="11" s="1"/>
  <c r="F168" i="11" s="1"/>
  <c r="F169" i="11" s="1"/>
  <c r="F170" i="11" s="1"/>
  <c r="F171" i="11" s="1"/>
  <c r="F172" i="11" s="1"/>
  <c r="F173" i="11" s="1"/>
  <c r="F174" i="11" s="1"/>
  <c r="F175" i="11" s="1"/>
  <c r="F176" i="11" s="1"/>
  <c r="F177" i="11" s="1"/>
  <c r="F178" i="11" s="1"/>
  <c r="H165" i="11"/>
  <c r="H166" i="11" s="1"/>
  <c r="H167" i="11" s="1"/>
  <c r="G164" i="11"/>
  <c r="H164" i="11" s="1"/>
  <c r="F164" i="11"/>
  <c r="H163" i="11"/>
  <c r="G162" i="11"/>
  <c r="G161" i="11"/>
  <c r="F161" i="11"/>
  <c r="F162" i="11" s="1"/>
  <c r="G160" i="11"/>
  <c r="G159" i="11"/>
  <c r="F159" i="11"/>
  <c r="H158" i="11"/>
  <c r="H159" i="11" s="1"/>
  <c r="H160" i="11" s="1"/>
  <c r="G156" i="11"/>
  <c r="G153" i="11"/>
  <c r="G150" i="11"/>
  <c r="H150" i="11" s="1"/>
  <c r="H151" i="11" s="1"/>
  <c r="H152" i="11" s="1"/>
  <c r="H153" i="11" s="1"/>
  <c r="H154" i="11" s="1"/>
  <c r="H155" i="11" s="1"/>
  <c r="H156" i="11" s="1"/>
  <c r="H157" i="11" s="1"/>
  <c r="G147" i="11"/>
  <c r="H147" i="11" s="1"/>
  <c r="H148" i="11" s="1"/>
  <c r="H149" i="11" s="1"/>
  <c r="F147" i="11"/>
  <c r="F148" i="11" s="1"/>
  <c r="F149" i="11" s="1"/>
  <c r="F150" i="11" s="1"/>
  <c r="F151" i="11" s="1"/>
  <c r="F152" i="11" s="1"/>
  <c r="F153" i="11" s="1"/>
  <c r="F154" i="11" s="1"/>
  <c r="F155" i="11" s="1"/>
  <c r="F156" i="11" s="1"/>
  <c r="F157" i="11" s="1"/>
  <c r="H146" i="11"/>
  <c r="F146" i="11"/>
  <c r="H145" i="11"/>
  <c r="H144" i="11"/>
  <c r="G142" i="11"/>
  <c r="G139" i="11"/>
  <c r="G136" i="11"/>
  <c r="H135" i="11"/>
  <c r="H136" i="11" s="1"/>
  <c r="H137" i="11" s="1"/>
  <c r="H138" i="11" s="1"/>
  <c r="G134" i="11"/>
  <c r="H134" i="11" s="1"/>
  <c r="H133" i="11"/>
  <c r="F133" i="11"/>
  <c r="F134" i="11" s="1"/>
  <c r="H132" i="11"/>
  <c r="G130" i="11"/>
  <c r="G127" i="11"/>
  <c r="G124" i="11"/>
  <c r="G122" i="11"/>
  <c r="H121" i="11"/>
  <c r="H122" i="11" s="1"/>
  <c r="H123" i="11" s="1"/>
  <c r="H124" i="11" s="1"/>
  <c r="H125" i="11" s="1"/>
  <c r="H126" i="11" s="1"/>
  <c r="F121" i="11"/>
  <c r="F122" i="11" s="1"/>
  <c r="H120" i="11"/>
  <c r="G119" i="11"/>
  <c r="H119" i="11" s="1"/>
  <c r="F119" i="11"/>
  <c r="F118" i="11"/>
  <c r="H117" i="11"/>
  <c r="H118" i="11" s="1"/>
  <c r="G116" i="11"/>
  <c r="G115" i="11"/>
  <c r="H115" i="11" s="1"/>
  <c r="H116" i="11" s="1"/>
  <c r="F115" i="11"/>
  <c r="F116" i="11" s="1"/>
  <c r="H114" i="11"/>
  <c r="H109" i="11"/>
  <c r="H110" i="11" s="1"/>
  <c r="H111" i="11" s="1"/>
  <c r="H112" i="11" s="1"/>
  <c r="H113" i="11" s="1"/>
  <c r="F108" i="11"/>
  <c r="F109" i="11" s="1"/>
  <c r="F110" i="11" s="1"/>
  <c r="F111" i="11" s="1"/>
  <c r="F112" i="11" s="1"/>
  <c r="F113" i="11" s="1"/>
  <c r="H107" i="11"/>
  <c r="H108" i="11" s="1"/>
  <c r="F105" i="11"/>
  <c r="F106" i="11" s="1"/>
  <c r="G104" i="11"/>
  <c r="G103" i="11"/>
  <c r="G102" i="11"/>
  <c r="F102" i="11"/>
  <c r="H101" i="11"/>
  <c r="H102" i="11" s="1"/>
  <c r="G100" i="11"/>
  <c r="H100" i="11" s="1"/>
  <c r="H99" i="11"/>
  <c r="G98" i="11"/>
  <c r="G97" i="11"/>
  <c r="G96" i="11"/>
  <c r="G95" i="11"/>
  <c r="G94" i="11"/>
  <c r="G93" i="11"/>
  <c r="G92" i="11"/>
  <c r="F91" i="11"/>
  <c r="G90" i="11"/>
  <c r="F90" i="11"/>
  <c r="F92" i="11" s="1"/>
  <c r="F93" i="11" s="1"/>
  <c r="F95" i="11" s="1"/>
  <c r="F96" i="11" s="1"/>
  <c r="F98" i="11" s="1"/>
  <c r="H88" i="11"/>
  <c r="H89" i="11" s="1"/>
  <c r="G87" i="11"/>
  <c r="G86" i="11"/>
  <c r="G84" i="11"/>
  <c r="G83" i="11"/>
  <c r="G82" i="11"/>
  <c r="G81" i="11"/>
  <c r="H81" i="11" s="1"/>
  <c r="G80" i="11"/>
  <c r="F80" i="11"/>
  <c r="F82" i="11" s="1"/>
  <c r="F85" i="11" s="1"/>
  <c r="F86" i="11" s="1"/>
  <c r="F79" i="11"/>
  <c r="H78" i="11"/>
  <c r="H79" i="11" s="1"/>
  <c r="H80" i="11" s="1"/>
  <c r="G77" i="11"/>
  <c r="H77" i="11" s="1"/>
  <c r="G76" i="11"/>
  <c r="H75" i="11"/>
  <c r="H76" i="11" s="1"/>
  <c r="G75" i="11"/>
  <c r="F75" i="11"/>
  <c r="H74" i="11"/>
  <c r="G73" i="11"/>
  <c r="G72" i="11"/>
  <c r="G71" i="11"/>
  <c r="G70" i="11"/>
  <c r="G69" i="11"/>
  <c r="F69" i="11"/>
  <c r="F72" i="11" s="1"/>
  <c r="F73" i="11" s="1"/>
  <c r="G68" i="11"/>
  <c r="H68" i="11" s="1"/>
  <c r="G67" i="11"/>
  <c r="H66" i="11"/>
  <c r="H67" i="11" s="1"/>
  <c r="G66" i="11"/>
  <c r="F66" i="11"/>
  <c r="G65" i="11"/>
  <c r="G64" i="11"/>
  <c r="G63" i="11"/>
  <c r="F63" i="11"/>
  <c r="H61" i="11"/>
  <c r="H62" i="11" s="1"/>
  <c r="G60" i="11"/>
  <c r="G59" i="11"/>
  <c r="G58" i="11"/>
  <c r="F58" i="11"/>
  <c r="H57" i="11"/>
  <c r="H58" i="11" s="1"/>
  <c r="H59" i="11" s="1"/>
  <c r="G56" i="11"/>
  <c r="G55" i="11"/>
  <c r="H54" i="11"/>
  <c r="H55" i="11" s="1"/>
  <c r="G54" i="11"/>
  <c r="G53" i="11"/>
  <c r="G52" i="11"/>
  <c r="G51" i="11"/>
  <c r="F51" i="11"/>
  <c r="H49" i="11"/>
  <c r="H50" i="11" s="1"/>
  <c r="H51" i="11" s="1"/>
  <c r="H52" i="11" s="1"/>
  <c r="H48" i="11"/>
  <c r="G48" i="11"/>
  <c r="F48" i="11"/>
  <c r="H47" i="11"/>
  <c r="G46" i="11"/>
  <c r="G45" i="11"/>
  <c r="G44" i="11"/>
  <c r="G43" i="11"/>
  <c r="G42" i="11"/>
  <c r="G41" i="11"/>
  <c r="G40" i="11"/>
  <c r="F40" i="11"/>
  <c r="F41" i="11" s="1"/>
  <c r="F43" i="11" s="1"/>
  <c r="F44" i="11" s="1"/>
  <c r="F46" i="11" s="1"/>
  <c r="G39" i="11"/>
  <c r="G38" i="11"/>
  <c r="H38" i="11" s="1"/>
  <c r="F35" i="11"/>
  <c r="F36" i="11" s="1"/>
  <c r="F37" i="11" s="1"/>
  <c r="F31" i="11"/>
  <c r="F32" i="11" s="1"/>
  <c r="F33" i="11" s="1"/>
  <c r="F34" i="11" s="1"/>
  <c r="H30" i="11"/>
  <c r="H31" i="11" s="1"/>
  <c r="H32" i="11" s="1"/>
  <c r="H33" i="11" s="1"/>
  <c r="H34" i="11" s="1"/>
  <c r="H35" i="11" s="1"/>
  <c r="H36" i="11" s="1"/>
  <c r="H37" i="11" s="1"/>
  <c r="F30" i="11"/>
  <c r="H29" i="11"/>
  <c r="G28" i="11"/>
  <c r="G25" i="11"/>
  <c r="H23" i="11"/>
  <c r="H24" i="11" s="1"/>
  <c r="G22" i="11"/>
  <c r="G19" i="11"/>
  <c r="H19" i="11" s="1"/>
  <c r="H20" i="11" s="1"/>
  <c r="H21" i="11" s="1"/>
  <c r="H22" i="11" s="1"/>
  <c r="F18" i="11"/>
  <c r="F19" i="11" s="1"/>
  <c r="F20" i="11" s="1"/>
  <c r="F21" i="11" s="1"/>
  <c r="F22" i="11" s="1"/>
  <c r="F23" i="11" s="1"/>
  <c r="F24" i="11" s="1"/>
  <c r="F25" i="11" s="1"/>
  <c r="F26" i="11" s="1"/>
  <c r="F27" i="11" s="1"/>
  <c r="F28" i="11" s="1"/>
  <c r="F17" i="11"/>
  <c r="H16" i="11"/>
  <c r="H17" i="11" s="1"/>
  <c r="H18" i="11" s="1"/>
  <c r="G15" i="11"/>
  <c r="F15" i="11"/>
  <c r="H13" i="11"/>
  <c r="H14" i="11" s="1"/>
  <c r="H15" i="11" s="1"/>
  <c r="G12" i="11"/>
  <c r="F12" i="11"/>
  <c r="F11" i="11"/>
  <c r="H9" i="11"/>
  <c r="H10" i="11" s="1"/>
  <c r="H11" i="11" s="1"/>
  <c r="G8" i="11"/>
  <c r="F7" i="11"/>
  <c r="F8" i="11" s="1"/>
  <c r="H5" i="11"/>
  <c r="H6" i="11" s="1"/>
  <c r="H7" i="11" s="1"/>
  <c r="H8" i="11" s="1"/>
  <c r="G4" i="11"/>
  <c r="F4" i="11"/>
  <c r="H2" i="11"/>
  <c r="H3" i="11" s="1"/>
  <c r="K1043" i="10"/>
  <c r="K1042" i="10"/>
  <c r="K1041" i="10"/>
  <c r="K1040" i="10"/>
  <c r="K1039" i="10"/>
  <c r="K1038" i="10"/>
  <c r="K1037" i="10"/>
  <c r="K1036" i="10"/>
  <c r="K1035" i="10"/>
  <c r="K1034" i="10"/>
  <c r="K1033" i="10"/>
  <c r="K1032" i="10"/>
  <c r="K1031" i="10"/>
  <c r="K1030" i="10"/>
  <c r="K1029" i="10"/>
  <c r="K1028" i="10"/>
  <c r="K1027" i="10"/>
  <c r="K1026" i="10"/>
  <c r="K1025" i="10"/>
  <c r="K1024" i="10"/>
  <c r="K1023" i="10"/>
  <c r="K1022" i="10"/>
  <c r="K1021" i="10"/>
  <c r="K1020" i="10"/>
  <c r="K1019" i="10"/>
  <c r="K1018" i="10"/>
  <c r="K1017" i="10"/>
  <c r="K1016" i="10"/>
  <c r="K1015" i="10"/>
  <c r="K1014" i="10"/>
  <c r="K1013" i="10"/>
  <c r="K1012" i="10"/>
  <c r="D1012" i="10"/>
  <c r="D1013" i="10" s="1"/>
  <c r="D1014" i="10" s="1"/>
  <c r="D1015" i="10" s="1"/>
  <c r="D1016" i="10" s="1"/>
  <c r="D1017" i="10" s="1"/>
  <c r="D1018" i="10" s="1"/>
  <c r="D1019" i="10" s="1"/>
  <c r="D1020" i="10" s="1"/>
  <c r="D1021" i="10" s="1"/>
  <c r="D1022" i="10" s="1"/>
  <c r="D1023" i="10" s="1"/>
  <c r="D1024" i="10" s="1"/>
  <c r="D1025" i="10" s="1"/>
  <c r="D1026" i="10" s="1"/>
  <c r="D1027" i="10" s="1"/>
  <c r="D1028" i="10" s="1"/>
  <c r="D1029" i="10" s="1"/>
  <c r="D1030" i="10" s="1"/>
  <c r="D1031" i="10" s="1"/>
  <c r="D1032" i="10" s="1"/>
  <c r="D1033" i="10" s="1"/>
  <c r="D1034" i="10" s="1"/>
  <c r="D1035" i="10" s="1"/>
  <c r="D1036" i="10" s="1"/>
  <c r="D1037" i="10" s="1"/>
  <c r="D1038" i="10" s="1"/>
  <c r="D1039" i="10" s="1"/>
  <c r="D1040" i="10" s="1"/>
  <c r="D1041" i="10" s="1"/>
  <c r="D1042" i="10" s="1"/>
  <c r="D1043" i="10" s="1"/>
  <c r="K1011" i="10"/>
  <c r="D1011" i="10"/>
  <c r="K1010" i="10"/>
  <c r="K1009" i="10"/>
  <c r="L1009" i="10" s="1"/>
  <c r="L1010" i="10" s="1"/>
  <c r="L1011" i="10" s="1"/>
  <c r="L1012" i="10" s="1"/>
  <c r="L1013" i="10" s="1"/>
  <c r="L1014" i="10" s="1"/>
  <c r="L1015" i="10" s="1"/>
  <c r="L1016" i="10" s="1"/>
  <c r="L1017" i="10" s="1"/>
  <c r="L1018" i="10" s="1"/>
  <c r="L1019" i="10" s="1"/>
  <c r="L1020" i="10" s="1"/>
  <c r="L1021" i="10" s="1"/>
  <c r="L1022" i="10" s="1"/>
  <c r="L1023" i="10" s="1"/>
  <c r="L1024" i="10" s="1"/>
  <c r="L1025" i="10" s="1"/>
  <c r="L1026" i="10" s="1"/>
  <c r="L1027" i="10" s="1"/>
  <c r="L1028" i="10" s="1"/>
  <c r="L1029" i="10" s="1"/>
  <c r="L1030" i="10" s="1"/>
  <c r="L1031" i="10" s="1"/>
  <c r="L1032" i="10" s="1"/>
  <c r="L1033" i="10" s="1"/>
  <c r="L1034" i="10" s="1"/>
  <c r="L1035" i="10" s="1"/>
  <c r="L1036" i="10" s="1"/>
  <c r="L1037" i="10" s="1"/>
  <c r="L1038" i="10" s="1"/>
  <c r="L1039" i="10" s="1"/>
  <c r="L1040" i="10" s="1"/>
  <c r="L1041" i="10" s="1"/>
  <c r="L1042" i="10" s="1"/>
  <c r="L1043" i="10" s="1"/>
  <c r="K1008" i="10"/>
  <c r="E1008" i="10"/>
  <c r="K1007" i="10"/>
  <c r="K1006" i="10"/>
  <c r="E1006" i="10"/>
  <c r="K1005" i="10"/>
  <c r="K1004" i="10"/>
  <c r="K1003" i="10"/>
  <c r="E1003" i="10"/>
  <c r="K1002" i="10"/>
  <c r="K1001" i="10"/>
  <c r="E1000" i="10"/>
  <c r="K1000" i="10" s="1"/>
  <c r="K999" i="10"/>
  <c r="E999" i="10"/>
  <c r="K998" i="10"/>
  <c r="E997" i="10"/>
  <c r="K997" i="10" s="1"/>
  <c r="K996" i="10"/>
  <c r="D996" i="10"/>
  <c r="D997" i="10" s="1"/>
  <c r="D998" i="10" s="1"/>
  <c r="K995" i="10"/>
  <c r="K994" i="10"/>
  <c r="E994" i="10"/>
  <c r="D994" i="10"/>
  <c r="K993" i="10"/>
  <c r="K992" i="10"/>
  <c r="E992" i="10"/>
  <c r="D992" i="10"/>
  <c r="K991" i="10"/>
  <c r="L991" i="10" s="1"/>
  <c r="L992" i="10" s="1"/>
  <c r="K990" i="10"/>
  <c r="K989" i="10"/>
  <c r="K988" i="10"/>
  <c r="K987" i="10"/>
  <c r="K986" i="10"/>
  <c r="K985" i="10"/>
  <c r="K984" i="10"/>
  <c r="K983" i="10"/>
  <c r="K982" i="10"/>
  <c r="K981" i="10"/>
  <c r="K980" i="10"/>
  <c r="K979" i="10"/>
  <c r="K978" i="10"/>
  <c r="K977" i="10"/>
  <c r="K976" i="10"/>
  <c r="K975" i="10"/>
  <c r="K974" i="10"/>
  <c r="L974" i="10" s="1"/>
  <c r="L975" i="10" s="1"/>
  <c r="L976" i="10" s="1"/>
  <c r="D974" i="10"/>
  <c r="D975" i="10" s="1"/>
  <c r="K973" i="10"/>
  <c r="L973" i="10" s="1"/>
  <c r="G972" i="10"/>
  <c r="K972" i="10" s="1"/>
  <c r="G971" i="10"/>
  <c r="K971" i="10" s="1"/>
  <c r="K970" i="10"/>
  <c r="G970" i="10"/>
  <c r="G969" i="10"/>
  <c r="K969" i="10" s="1"/>
  <c r="K968" i="10"/>
  <c r="G968" i="10"/>
  <c r="G967" i="10"/>
  <c r="K967" i="10" s="1"/>
  <c r="K966" i="10"/>
  <c r="G966" i="10"/>
  <c r="G965" i="10"/>
  <c r="K965" i="10" s="1"/>
  <c r="K964" i="10"/>
  <c r="G964" i="10"/>
  <c r="G963" i="10"/>
  <c r="K963" i="10" s="1"/>
  <c r="K962" i="10"/>
  <c r="G962" i="10"/>
  <c r="G961" i="10"/>
  <c r="K961" i="10" s="1"/>
  <c r="K960" i="10"/>
  <c r="G960" i="10"/>
  <c r="G959" i="10"/>
  <c r="K959" i="10" s="1"/>
  <c r="K958" i="10"/>
  <c r="G958" i="10"/>
  <c r="G957" i="10"/>
  <c r="K957" i="10" s="1"/>
  <c r="K956" i="10"/>
  <c r="G956" i="10"/>
  <c r="G955" i="10"/>
  <c r="K955" i="10" s="1"/>
  <c r="K954" i="10"/>
  <c r="G954" i="10"/>
  <c r="G953" i="10"/>
  <c r="K953" i="10" s="1"/>
  <c r="K952" i="10"/>
  <c r="G952" i="10"/>
  <c r="G951" i="10"/>
  <c r="K951" i="10" s="1"/>
  <c r="K950" i="10"/>
  <c r="G950" i="10"/>
  <c r="G949" i="10"/>
  <c r="K949" i="10" s="1"/>
  <c r="K948" i="10"/>
  <c r="G948" i="10"/>
  <c r="G947" i="10"/>
  <c r="K947" i="10" s="1"/>
  <c r="K946" i="10"/>
  <c r="G946" i="10"/>
  <c r="G945" i="10"/>
  <c r="K945" i="10" s="1"/>
  <c r="K944" i="10"/>
  <c r="G944" i="10"/>
  <c r="G943" i="10"/>
  <c r="K943" i="10" s="1"/>
  <c r="K942" i="10"/>
  <c r="G942" i="10"/>
  <c r="G941" i="10"/>
  <c r="K941" i="10" s="1"/>
  <c r="K940" i="10"/>
  <c r="G940" i="10"/>
  <c r="G939" i="10"/>
  <c r="K939" i="10" s="1"/>
  <c r="D939" i="10"/>
  <c r="D940" i="10" s="1"/>
  <c r="D941" i="10" s="1"/>
  <c r="D942" i="10" s="1"/>
  <c r="D943" i="10" s="1"/>
  <c r="D944" i="10" s="1"/>
  <c r="D945" i="10" s="1"/>
  <c r="D946" i="10" s="1"/>
  <c r="D947" i="10" s="1"/>
  <c r="D948" i="10" s="1"/>
  <c r="D949" i="10" s="1"/>
  <c r="D950" i="10" s="1"/>
  <c r="D951" i="10" s="1"/>
  <c r="D952" i="10" s="1"/>
  <c r="D953" i="10" s="1"/>
  <c r="D954" i="10" s="1"/>
  <c r="D955" i="10" s="1"/>
  <c r="D956" i="10" s="1"/>
  <c r="D957" i="10" s="1"/>
  <c r="D958" i="10" s="1"/>
  <c r="D959" i="10" s="1"/>
  <c r="D960" i="10" s="1"/>
  <c r="D961" i="10" s="1"/>
  <c r="D962" i="10" s="1"/>
  <c r="D963" i="10" s="1"/>
  <c r="D964" i="10" s="1"/>
  <c r="D965" i="10" s="1"/>
  <c r="D966" i="10" s="1"/>
  <c r="D967" i="10" s="1"/>
  <c r="D968" i="10" s="1"/>
  <c r="D969" i="10" s="1"/>
  <c r="D970" i="10" s="1"/>
  <c r="D971" i="10" s="1"/>
  <c r="K938" i="10"/>
  <c r="G938" i="10"/>
  <c r="K937" i="10"/>
  <c r="L937" i="10" s="1"/>
  <c r="L938" i="10" s="1"/>
  <c r="L939" i="10" s="1"/>
  <c r="L940" i="10" s="1"/>
  <c r="L941" i="10" s="1"/>
  <c r="L942" i="10" s="1"/>
  <c r="L943" i="10" s="1"/>
  <c r="L944" i="10" s="1"/>
  <c r="K936" i="10"/>
  <c r="G936" i="10"/>
  <c r="G935" i="10"/>
  <c r="K935" i="10" s="1"/>
  <c r="K934" i="10"/>
  <c r="G934" i="10"/>
  <c r="G933" i="10"/>
  <c r="K933" i="10" s="1"/>
  <c r="K932" i="10"/>
  <c r="G932" i="10"/>
  <c r="G931" i="10"/>
  <c r="K931" i="10" s="1"/>
  <c r="K930" i="10"/>
  <c r="G930" i="10"/>
  <c r="G929" i="10"/>
  <c r="K929" i="10" s="1"/>
  <c r="K928" i="10"/>
  <c r="G928" i="10"/>
  <c r="D928" i="10"/>
  <c r="D929" i="10" s="1"/>
  <c r="D930" i="10" s="1"/>
  <c r="D931" i="10" s="1"/>
  <c r="D932" i="10" s="1"/>
  <c r="D933" i="10" s="1"/>
  <c r="D934" i="10" s="1"/>
  <c r="D935" i="10" s="1"/>
  <c r="D936" i="10" s="1"/>
  <c r="L927" i="10"/>
  <c r="L928" i="10" s="1"/>
  <c r="G927" i="10"/>
  <c r="K927" i="10" s="1"/>
  <c r="K926" i="10"/>
  <c r="L926" i="10" s="1"/>
  <c r="L925" i="10"/>
  <c r="G925" i="10"/>
  <c r="E925" i="10"/>
  <c r="K925" i="10" s="1"/>
  <c r="G924" i="10"/>
  <c r="E924" i="10"/>
  <c r="K924" i="10" s="1"/>
  <c r="D924" i="10"/>
  <c r="D925" i="10" s="1"/>
  <c r="K923" i="10"/>
  <c r="G923" i="10"/>
  <c r="E923" i="10"/>
  <c r="K922" i="10"/>
  <c r="L922" i="10" s="1"/>
  <c r="L923" i="10" s="1"/>
  <c r="L924" i="10" s="1"/>
  <c r="K921" i="10"/>
  <c r="K920" i="10"/>
  <c r="D920" i="10"/>
  <c r="D921" i="10" s="1"/>
  <c r="K919" i="10"/>
  <c r="D919" i="10"/>
  <c r="K918" i="10"/>
  <c r="K917" i="10"/>
  <c r="L917" i="10" s="1"/>
  <c r="L918" i="10" s="1"/>
  <c r="L919" i="10" s="1"/>
  <c r="L920" i="10" s="1"/>
  <c r="L921" i="10" s="1"/>
  <c r="G916" i="10"/>
  <c r="K916" i="10" s="1"/>
  <c r="K915" i="10"/>
  <c r="G915" i="10"/>
  <c r="G914" i="10"/>
  <c r="K914" i="10" s="1"/>
  <c r="K913" i="10"/>
  <c r="G913" i="10"/>
  <c r="G912" i="10"/>
  <c r="K912" i="10" s="1"/>
  <c r="K911" i="10"/>
  <c r="G911" i="10"/>
  <c r="G910" i="10"/>
  <c r="K910" i="10" s="1"/>
  <c r="K909" i="10"/>
  <c r="G909" i="10"/>
  <c r="G908" i="10"/>
  <c r="K908" i="10" s="1"/>
  <c r="K907" i="10"/>
  <c r="G907" i="10"/>
  <c r="G906" i="10"/>
  <c r="K906" i="10" s="1"/>
  <c r="K905" i="10"/>
  <c r="G905" i="10"/>
  <c r="G904" i="10"/>
  <c r="K904" i="10" s="1"/>
  <c r="K903" i="10"/>
  <c r="G903" i="10"/>
  <c r="G902" i="10"/>
  <c r="K902" i="10" s="1"/>
  <c r="K901" i="10"/>
  <c r="G901" i="10"/>
  <c r="K900" i="10"/>
  <c r="G900" i="10"/>
  <c r="K899" i="10"/>
  <c r="G899" i="10"/>
  <c r="K898" i="10"/>
  <c r="G898" i="10"/>
  <c r="K897" i="10"/>
  <c r="G897" i="10"/>
  <c r="K896" i="10"/>
  <c r="G896" i="10"/>
  <c r="K895" i="10"/>
  <c r="G895" i="10"/>
  <c r="K894" i="10"/>
  <c r="G894" i="10"/>
  <c r="K893" i="10"/>
  <c r="G893" i="10"/>
  <c r="K892" i="10"/>
  <c r="G892" i="10"/>
  <c r="K891" i="10"/>
  <c r="G891" i="10"/>
  <c r="L890" i="10"/>
  <c r="L891" i="10" s="1"/>
  <c r="L892" i="10" s="1"/>
  <c r="L893" i="10" s="1"/>
  <c r="L894" i="10" s="1"/>
  <c r="L895" i="10" s="1"/>
  <c r="L896" i="10" s="1"/>
  <c r="L897" i="10" s="1"/>
  <c r="L898" i="10" s="1"/>
  <c r="L899" i="10" s="1"/>
  <c r="L900" i="10" s="1"/>
  <c r="L901" i="10" s="1"/>
  <c r="L902" i="10" s="1"/>
  <c r="L903" i="10" s="1"/>
  <c r="L904" i="10" s="1"/>
  <c r="L905" i="10" s="1"/>
  <c r="L906" i="10" s="1"/>
  <c r="L907" i="10" s="1"/>
  <c r="L908" i="10" s="1"/>
  <c r="L909" i="10" s="1"/>
  <c r="L910" i="10" s="1"/>
  <c r="L911" i="10" s="1"/>
  <c r="L912" i="10" s="1"/>
  <c r="L913" i="10" s="1"/>
  <c r="L914" i="10" s="1"/>
  <c r="L915" i="10" s="1"/>
  <c r="K890" i="10"/>
  <c r="G890" i="10"/>
  <c r="K889" i="10"/>
  <c r="G889" i="10"/>
  <c r="K888" i="10"/>
  <c r="G888" i="10"/>
  <c r="K887" i="10"/>
  <c r="G887" i="10"/>
  <c r="K886" i="10"/>
  <c r="G886" i="10"/>
  <c r="K885" i="10"/>
  <c r="G885" i="10"/>
  <c r="K884" i="10"/>
  <c r="G884" i="10"/>
  <c r="D884" i="10"/>
  <c r="D885" i="10" s="1"/>
  <c r="D886" i="10" s="1"/>
  <c r="D887" i="10" s="1"/>
  <c r="D888" i="10" s="1"/>
  <c r="D889" i="10" s="1"/>
  <c r="D890" i="10" s="1"/>
  <c r="D891" i="10" s="1"/>
  <c r="D892" i="10" s="1"/>
  <c r="D893" i="10" s="1"/>
  <c r="D894" i="10" s="1"/>
  <c r="D895" i="10" s="1"/>
  <c r="D896" i="10" s="1"/>
  <c r="D897" i="10" s="1"/>
  <c r="D898" i="10" s="1"/>
  <c r="D899" i="10" s="1"/>
  <c r="D900" i="10" s="1"/>
  <c r="D901" i="10" s="1"/>
  <c r="D902" i="10" s="1"/>
  <c r="D903" i="10" s="1"/>
  <c r="D904" i="10" s="1"/>
  <c r="D905" i="10" s="1"/>
  <c r="D906" i="10" s="1"/>
  <c r="D907" i="10" s="1"/>
  <c r="D908" i="10" s="1"/>
  <c r="D909" i="10" s="1"/>
  <c r="D910" i="10" s="1"/>
  <c r="D911" i="10" s="1"/>
  <c r="D912" i="10" s="1"/>
  <c r="D913" i="10" s="1"/>
  <c r="D914" i="10" s="1"/>
  <c r="D915" i="10" s="1"/>
  <c r="D916" i="10" s="1"/>
  <c r="K883" i="10"/>
  <c r="G883" i="10"/>
  <c r="K882" i="10"/>
  <c r="L881" i="10"/>
  <c r="L882" i="10" s="1"/>
  <c r="L883" i="10" s="1"/>
  <c r="L884" i="10" s="1"/>
  <c r="L885" i="10" s="1"/>
  <c r="L886" i="10" s="1"/>
  <c r="L887" i="10" s="1"/>
  <c r="L888" i="10" s="1"/>
  <c r="L889" i="10" s="1"/>
  <c r="K881" i="10"/>
  <c r="G880" i="10"/>
  <c r="K880" i="10" s="1"/>
  <c r="K879" i="10"/>
  <c r="G879" i="10"/>
  <c r="G878" i="10"/>
  <c r="K878" i="10" s="1"/>
  <c r="K877" i="10"/>
  <c r="G877" i="10"/>
  <c r="G876" i="10"/>
  <c r="K876" i="10" s="1"/>
  <c r="K875" i="10"/>
  <c r="G875" i="10"/>
  <c r="G874" i="10"/>
  <c r="K874" i="10" s="1"/>
  <c r="K873" i="10"/>
  <c r="G873" i="10"/>
  <c r="G872" i="10"/>
  <c r="K872" i="10" s="1"/>
  <c r="K871" i="10"/>
  <c r="G871" i="10"/>
  <c r="G870" i="10"/>
  <c r="K870" i="10" s="1"/>
  <c r="K869" i="10"/>
  <c r="G869" i="10"/>
  <c r="G868" i="10"/>
  <c r="K868" i="10" s="1"/>
  <c r="K867" i="10"/>
  <c r="G867" i="10"/>
  <c r="D867" i="10"/>
  <c r="D868" i="10" s="1"/>
  <c r="D869" i="10" s="1"/>
  <c r="D870" i="10" s="1"/>
  <c r="D871" i="10" s="1"/>
  <c r="D872" i="10" s="1"/>
  <c r="D873" i="10" s="1"/>
  <c r="D874" i="10" s="1"/>
  <c r="D875" i="10" s="1"/>
  <c r="D876" i="10" s="1"/>
  <c r="D877" i="10" s="1"/>
  <c r="D878" i="10" s="1"/>
  <c r="D879" i="10" s="1"/>
  <c r="D880" i="10" s="1"/>
  <c r="G866" i="10"/>
  <c r="K866" i="10" s="1"/>
  <c r="D866" i="10"/>
  <c r="K865" i="10"/>
  <c r="G865" i="10"/>
  <c r="L864" i="10"/>
  <c r="K864" i="10"/>
  <c r="K863" i="10"/>
  <c r="G863" i="10"/>
  <c r="E863" i="10"/>
  <c r="G862" i="10"/>
  <c r="E862" i="10"/>
  <c r="K862" i="10" s="1"/>
  <c r="G861" i="10"/>
  <c r="E861" i="10"/>
  <c r="G860" i="10"/>
  <c r="K860" i="10" s="1"/>
  <c r="E860" i="10"/>
  <c r="K859" i="10"/>
  <c r="G859" i="10"/>
  <c r="E859" i="10"/>
  <c r="G858" i="10"/>
  <c r="E858" i="10"/>
  <c r="K858" i="10" s="1"/>
  <c r="G857" i="10"/>
  <c r="E857" i="10"/>
  <c r="K857" i="10" s="1"/>
  <c r="K856" i="10"/>
  <c r="G856" i="10"/>
  <c r="E856" i="10"/>
  <c r="K855" i="10"/>
  <c r="G855" i="10"/>
  <c r="E855" i="10"/>
  <c r="D855" i="10"/>
  <c r="D856" i="10" s="1"/>
  <c r="D857" i="10" s="1"/>
  <c r="D858" i="10" s="1"/>
  <c r="D859" i="10" s="1"/>
  <c r="D860" i="10" s="1"/>
  <c r="D861" i="10" s="1"/>
  <c r="D862" i="10" s="1"/>
  <c r="D863" i="10" s="1"/>
  <c r="G854" i="10"/>
  <c r="E854" i="10"/>
  <c r="K854" i="10" s="1"/>
  <c r="G853" i="10"/>
  <c r="E853" i="10"/>
  <c r="K853" i="10" s="1"/>
  <c r="G852" i="10"/>
  <c r="K852" i="10" s="1"/>
  <c r="E852" i="10"/>
  <c r="K851" i="10"/>
  <c r="G851" i="10"/>
  <c r="E851" i="10"/>
  <c r="G850" i="10"/>
  <c r="E850" i="10"/>
  <c r="K850" i="10" s="1"/>
  <c r="G849" i="10"/>
  <c r="E849" i="10"/>
  <c r="K849" i="10" s="1"/>
  <c r="K848" i="10"/>
  <c r="G848" i="10"/>
  <c r="E848" i="10"/>
  <c r="K847" i="10"/>
  <c r="G847" i="10"/>
  <c r="E847" i="10"/>
  <c r="D847" i="10"/>
  <c r="D848" i="10" s="1"/>
  <c r="D849" i="10" s="1"/>
  <c r="D850" i="10" s="1"/>
  <c r="D851" i="10" s="1"/>
  <c r="D852" i="10" s="1"/>
  <c r="D853" i="10" s="1"/>
  <c r="D854" i="10" s="1"/>
  <c r="K846" i="10"/>
  <c r="G846" i="10"/>
  <c r="D846" i="10"/>
  <c r="K845" i="10"/>
  <c r="G845" i="10"/>
  <c r="L844" i="10"/>
  <c r="L845" i="10" s="1"/>
  <c r="L846" i="10" s="1"/>
  <c r="L847" i="10" s="1"/>
  <c r="L848" i="10" s="1"/>
  <c r="K844" i="10"/>
  <c r="K843" i="10"/>
  <c r="K842" i="10"/>
  <c r="K841" i="10"/>
  <c r="K840" i="10"/>
  <c r="K839" i="10"/>
  <c r="K838" i="10"/>
  <c r="K837" i="10"/>
  <c r="K836" i="10"/>
  <c r="K835" i="10"/>
  <c r="K834" i="10"/>
  <c r="K833" i="10"/>
  <c r="K832" i="10"/>
  <c r="K831" i="10"/>
  <c r="K830" i="10"/>
  <c r="K829" i="10"/>
  <c r="K828" i="10"/>
  <c r="K827" i="10"/>
  <c r="K826" i="10"/>
  <c r="K825" i="10"/>
  <c r="K824" i="10"/>
  <c r="K823" i="10"/>
  <c r="K822" i="10"/>
  <c r="K821" i="10"/>
  <c r="K820" i="10"/>
  <c r="K819" i="10"/>
  <c r="K818" i="10"/>
  <c r="K817" i="10"/>
  <c r="D817" i="10"/>
  <c r="D818" i="10" s="1"/>
  <c r="D819" i="10" s="1"/>
  <c r="D820" i="10" s="1"/>
  <c r="D821" i="10" s="1"/>
  <c r="D822" i="10" s="1"/>
  <c r="D823" i="10" s="1"/>
  <c r="D824" i="10" s="1"/>
  <c r="D825" i="10" s="1"/>
  <c r="D826" i="10" s="1"/>
  <c r="D827" i="10" s="1"/>
  <c r="D828" i="10" s="1"/>
  <c r="D829" i="10" s="1"/>
  <c r="D830" i="10" s="1"/>
  <c r="D831" i="10" s="1"/>
  <c r="D832" i="10" s="1"/>
  <c r="D833" i="10" s="1"/>
  <c r="D834" i="10" s="1"/>
  <c r="D835" i="10" s="1"/>
  <c r="D836" i="10" s="1"/>
  <c r="D837" i="10" s="1"/>
  <c r="D838" i="10" s="1"/>
  <c r="D839" i="10" s="1"/>
  <c r="D840" i="10" s="1"/>
  <c r="D841" i="10" s="1"/>
  <c r="D842" i="10" s="1"/>
  <c r="D843" i="10" s="1"/>
  <c r="K816" i="10"/>
  <c r="L816" i="10" s="1"/>
  <c r="L817" i="10" s="1"/>
  <c r="L818" i="10" s="1"/>
  <c r="L819" i="10" s="1"/>
  <c r="K815" i="10"/>
  <c r="G815" i="10"/>
  <c r="K814" i="10"/>
  <c r="G814" i="10"/>
  <c r="K813" i="10"/>
  <c r="G813" i="10"/>
  <c r="K812" i="10"/>
  <c r="G812" i="10"/>
  <c r="K811" i="10"/>
  <c r="G811" i="10"/>
  <c r="K810" i="10"/>
  <c r="G810" i="10"/>
  <c r="K809" i="10"/>
  <c r="G809" i="10"/>
  <c r="K808" i="10"/>
  <c r="G808" i="10"/>
  <c r="K807" i="10"/>
  <c r="G807" i="10"/>
  <c r="K806" i="10"/>
  <c r="G806" i="10"/>
  <c r="K805" i="10"/>
  <c r="G805" i="10"/>
  <c r="K804" i="10"/>
  <c r="G804" i="10"/>
  <c r="K803" i="10"/>
  <c r="G803" i="10"/>
  <c r="K802" i="10"/>
  <c r="G802" i="10"/>
  <c r="K801" i="10"/>
  <c r="G801" i="10"/>
  <c r="K800" i="10"/>
  <c r="G800" i="10"/>
  <c r="K799" i="10"/>
  <c r="G799" i="10"/>
  <c r="K798" i="10"/>
  <c r="G798" i="10"/>
  <c r="K797" i="10"/>
  <c r="G797" i="10"/>
  <c r="K796" i="10"/>
  <c r="G796" i="10"/>
  <c r="K795" i="10"/>
  <c r="G795" i="10"/>
  <c r="K794" i="10"/>
  <c r="G794" i="10"/>
  <c r="K793" i="10"/>
  <c r="G793" i="10"/>
  <c r="K792" i="10"/>
  <c r="G792" i="10"/>
  <c r="K791" i="10"/>
  <c r="G791" i="10"/>
  <c r="K790" i="10"/>
  <c r="G790" i="10"/>
  <c r="K789" i="10"/>
  <c r="G789" i="10"/>
  <c r="D789" i="10"/>
  <c r="D790" i="10" s="1"/>
  <c r="D791" i="10" s="1"/>
  <c r="D792" i="10" s="1"/>
  <c r="D793" i="10" s="1"/>
  <c r="D794" i="10" s="1"/>
  <c r="D795" i="10" s="1"/>
  <c r="D796" i="10" s="1"/>
  <c r="D797" i="10" s="1"/>
  <c r="D798" i="10" s="1"/>
  <c r="D799" i="10" s="1"/>
  <c r="D800" i="10" s="1"/>
  <c r="D801" i="10" s="1"/>
  <c r="D802" i="10" s="1"/>
  <c r="D803" i="10" s="1"/>
  <c r="D804" i="10" s="1"/>
  <c r="D805" i="10" s="1"/>
  <c r="D806" i="10" s="1"/>
  <c r="D807" i="10" s="1"/>
  <c r="D808" i="10" s="1"/>
  <c r="D809" i="10" s="1"/>
  <c r="D810" i="10" s="1"/>
  <c r="D811" i="10" s="1"/>
  <c r="D812" i="10" s="1"/>
  <c r="D813" i="10" s="1"/>
  <c r="D814" i="10" s="1"/>
  <c r="D815" i="10" s="1"/>
  <c r="K788" i="10"/>
  <c r="G788" i="10"/>
  <c r="D788" i="10"/>
  <c r="L787" i="10"/>
  <c r="L788" i="10" s="1"/>
  <c r="L789" i="10" s="1"/>
  <c r="L790" i="10" s="1"/>
  <c r="L791" i="10" s="1"/>
  <c r="L792" i="10" s="1"/>
  <c r="L793" i="10" s="1"/>
  <c r="L794" i="10" s="1"/>
  <c r="L795" i="10" s="1"/>
  <c r="L796" i="10" s="1"/>
  <c r="L797" i="10" s="1"/>
  <c r="L798" i="10" s="1"/>
  <c r="L799" i="10" s="1"/>
  <c r="L800" i="10" s="1"/>
  <c r="L801" i="10" s="1"/>
  <c r="L802" i="10" s="1"/>
  <c r="L803" i="10" s="1"/>
  <c r="L804" i="10" s="1"/>
  <c r="L805" i="10" s="1"/>
  <c r="L806" i="10" s="1"/>
  <c r="L807" i="10" s="1"/>
  <c r="L808" i="10" s="1"/>
  <c r="L809" i="10" s="1"/>
  <c r="L810" i="10" s="1"/>
  <c r="L811" i="10" s="1"/>
  <c r="L812" i="10" s="1"/>
  <c r="L813" i="10" s="1"/>
  <c r="L814" i="10" s="1"/>
  <c r="L815" i="10" s="1"/>
  <c r="K787" i="10"/>
  <c r="K786" i="10"/>
  <c r="G786" i="10"/>
  <c r="G785" i="10"/>
  <c r="K785" i="10" s="1"/>
  <c r="K784" i="10"/>
  <c r="G784" i="10"/>
  <c r="G783" i="10"/>
  <c r="K783" i="10" s="1"/>
  <c r="K782" i="10"/>
  <c r="G782" i="10"/>
  <c r="G781" i="10"/>
  <c r="K781" i="10" s="1"/>
  <c r="K780" i="10"/>
  <c r="G780" i="10"/>
  <c r="G779" i="10"/>
  <c r="K779" i="10" s="1"/>
  <c r="K778" i="10"/>
  <c r="G778" i="10"/>
  <c r="G777" i="10"/>
  <c r="K777" i="10" s="1"/>
  <c r="K776" i="10"/>
  <c r="G776" i="10"/>
  <c r="G775" i="10"/>
  <c r="K775" i="10" s="1"/>
  <c r="K774" i="10"/>
  <c r="G774" i="10"/>
  <c r="D774" i="10"/>
  <c r="D775" i="10" s="1"/>
  <c r="D776" i="10" s="1"/>
  <c r="D777" i="10" s="1"/>
  <c r="D778" i="10" s="1"/>
  <c r="D779" i="10" s="1"/>
  <c r="D780" i="10" s="1"/>
  <c r="D781" i="10" s="1"/>
  <c r="D782" i="10" s="1"/>
  <c r="D783" i="10" s="1"/>
  <c r="D784" i="10" s="1"/>
  <c r="D785" i="10" s="1"/>
  <c r="D786" i="10" s="1"/>
  <c r="G773" i="10"/>
  <c r="K773" i="10" s="1"/>
  <c r="D773" i="10"/>
  <c r="K772" i="10"/>
  <c r="L772" i="10" s="1"/>
  <c r="G772" i="10"/>
  <c r="L771" i="10"/>
  <c r="K771" i="10"/>
  <c r="K770" i="10"/>
  <c r="G770" i="10"/>
  <c r="E770" i="10"/>
  <c r="K769" i="10"/>
  <c r="K768" i="10"/>
  <c r="G768" i="10"/>
  <c r="E768" i="10"/>
  <c r="K767" i="10"/>
  <c r="G767" i="10"/>
  <c r="E767" i="10"/>
  <c r="G766" i="10"/>
  <c r="E766" i="10"/>
  <c r="K766" i="10" s="1"/>
  <c r="K765" i="10"/>
  <c r="G764" i="10"/>
  <c r="E764" i="10"/>
  <c r="G763" i="10"/>
  <c r="K763" i="10" s="1"/>
  <c r="E763" i="10"/>
  <c r="G762" i="10"/>
  <c r="K762" i="10" s="1"/>
  <c r="E762" i="10"/>
  <c r="K761" i="10"/>
  <c r="L760" i="10"/>
  <c r="L761" i="10" s="1"/>
  <c r="L762" i="10" s="1"/>
  <c r="L763" i="10" s="1"/>
  <c r="G760" i="10"/>
  <c r="K760" i="10" s="1"/>
  <c r="E760" i="10"/>
  <c r="G759" i="10"/>
  <c r="E759" i="10"/>
  <c r="K759" i="10" s="1"/>
  <c r="G758" i="10"/>
  <c r="E758" i="10"/>
  <c r="K758" i="10" s="1"/>
  <c r="K757" i="10"/>
  <c r="G756" i="10"/>
  <c r="E756" i="10"/>
  <c r="K756" i="10" s="1"/>
  <c r="K755" i="10"/>
  <c r="G755" i="10"/>
  <c r="E755" i="10"/>
  <c r="K754" i="10"/>
  <c r="G754" i="10"/>
  <c r="E754" i="10"/>
  <c r="D754" i="10"/>
  <c r="D755" i="10" s="1"/>
  <c r="D756" i="10" s="1"/>
  <c r="D757" i="10" s="1"/>
  <c r="D758" i="10" s="1"/>
  <c r="D759" i="10" s="1"/>
  <c r="D760" i="10" s="1"/>
  <c r="D761" i="10" s="1"/>
  <c r="D762" i="10" s="1"/>
  <c r="D763" i="10" s="1"/>
  <c r="D764" i="10" s="1"/>
  <c r="D765" i="10" s="1"/>
  <c r="D766" i="10" s="1"/>
  <c r="D767" i="10" s="1"/>
  <c r="D768" i="10" s="1"/>
  <c r="D769" i="10" s="1"/>
  <c r="D770" i="10" s="1"/>
  <c r="K753" i="10"/>
  <c r="K752" i="10"/>
  <c r="G752" i="10"/>
  <c r="E752" i="10"/>
  <c r="K751" i="10"/>
  <c r="G751" i="10"/>
  <c r="E751" i="10"/>
  <c r="G750" i="10"/>
  <c r="E750" i="10"/>
  <c r="K750" i="10" s="1"/>
  <c r="K749" i="10"/>
  <c r="D749" i="10"/>
  <c r="D750" i="10" s="1"/>
  <c r="D751" i="10" s="1"/>
  <c r="D752" i="10" s="1"/>
  <c r="D753" i="10" s="1"/>
  <c r="G748" i="10"/>
  <c r="E748" i="10"/>
  <c r="K748" i="10" s="1"/>
  <c r="D748" i="10"/>
  <c r="G747" i="10"/>
  <c r="K747" i="10" s="1"/>
  <c r="E747" i="10"/>
  <c r="D747" i="10"/>
  <c r="G746" i="10"/>
  <c r="K746" i="10" s="1"/>
  <c r="E746" i="10"/>
  <c r="K745" i="10"/>
  <c r="L745" i="10" s="1"/>
  <c r="L746" i="10" s="1"/>
  <c r="L747" i="10" s="1"/>
  <c r="L748" i="10" s="1"/>
  <c r="L749" i="10" s="1"/>
  <c r="L750" i="10" s="1"/>
  <c r="L751" i="10" s="1"/>
  <c r="L752" i="10" s="1"/>
  <c r="L753" i="10" s="1"/>
  <c r="L754" i="10" s="1"/>
  <c r="L755" i="10" s="1"/>
  <c r="L756" i="10" s="1"/>
  <c r="L757" i="10" s="1"/>
  <c r="L758" i="10" s="1"/>
  <c r="L759" i="10" s="1"/>
  <c r="L744" i="10"/>
  <c r="K744" i="10"/>
  <c r="K743" i="10"/>
  <c r="K742" i="10"/>
  <c r="E741" i="10"/>
  <c r="K741" i="10" s="1"/>
  <c r="E740" i="10"/>
  <c r="K740" i="10" s="1"/>
  <c r="K739" i="10"/>
  <c r="K738" i="10"/>
  <c r="K737" i="10"/>
  <c r="K736" i="10"/>
  <c r="E735" i="10"/>
  <c r="K735" i="10" s="1"/>
  <c r="E734" i="10"/>
  <c r="K734" i="10" s="1"/>
  <c r="K733" i="10"/>
  <c r="K732" i="10"/>
  <c r="E731" i="10"/>
  <c r="K731" i="10" s="1"/>
  <c r="K730" i="10"/>
  <c r="E730" i="10"/>
  <c r="K729" i="10"/>
  <c r="K728" i="10"/>
  <c r="K727" i="10"/>
  <c r="D727" i="10"/>
  <c r="D728" i="10" s="1"/>
  <c r="D729" i="10" s="1"/>
  <c r="D730" i="10" s="1"/>
  <c r="D731" i="10" s="1"/>
  <c r="D732" i="10" s="1"/>
  <c r="D733" i="10" s="1"/>
  <c r="D734" i="10" s="1"/>
  <c r="D735" i="10" s="1"/>
  <c r="D736" i="10" s="1"/>
  <c r="D737" i="10" s="1"/>
  <c r="D738" i="10" s="1"/>
  <c r="D739" i="10" s="1"/>
  <c r="D740" i="10" s="1"/>
  <c r="D741" i="10" s="1"/>
  <c r="D742" i="10" s="1"/>
  <c r="D743" i="10" s="1"/>
  <c r="K726" i="10"/>
  <c r="D726" i="10"/>
  <c r="K725" i="10"/>
  <c r="E724" i="10"/>
  <c r="K724" i="10" s="1"/>
  <c r="D724" i="10"/>
  <c r="K723" i="10"/>
  <c r="K722" i="10"/>
  <c r="L722" i="10" s="1"/>
  <c r="L723" i="10" s="1"/>
  <c r="K721" i="10"/>
  <c r="K720" i="10"/>
  <c r="E720" i="10"/>
  <c r="K719" i="10"/>
  <c r="E718" i="10"/>
  <c r="K718" i="10" s="1"/>
  <c r="K717" i="10"/>
  <c r="K716" i="10"/>
  <c r="E715" i="10"/>
  <c r="K715" i="10" s="1"/>
  <c r="K714" i="10"/>
  <c r="K713" i="10"/>
  <c r="E713" i="10"/>
  <c r="K712" i="10"/>
  <c r="K711" i="10"/>
  <c r="E710" i="10"/>
  <c r="K710" i="10" s="1"/>
  <c r="K709" i="10"/>
  <c r="E709" i="10"/>
  <c r="K708" i="10"/>
  <c r="K707" i="10"/>
  <c r="K706" i="10"/>
  <c r="E706" i="10"/>
  <c r="K705" i="10"/>
  <c r="E704" i="10"/>
  <c r="K704" i="10" s="1"/>
  <c r="K703" i="10"/>
  <c r="E703" i="10"/>
  <c r="K702" i="10"/>
  <c r="D702" i="10"/>
  <c r="D703" i="10" s="1"/>
  <c r="D704" i="10" s="1"/>
  <c r="K701" i="10"/>
  <c r="L701" i="10" s="1"/>
  <c r="L702" i="10" s="1"/>
  <c r="K700" i="10"/>
  <c r="K699" i="10"/>
  <c r="K698" i="10"/>
  <c r="K697" i="10"/>
  <c r="K696" i="10"/>
  <c r="K695" i="10"/>
  <c r="K694" i="10"/>
  <c r="K693" i="10"/>
  <c r="K692" i="10"/>
  <c r="K691" i="10"/>
  <c r="K690" i="10"/>
  <c r="K689" i="10"/>
  <c r="K688" i="10"/>
  <c r="K687" i="10"/>
  <c r="K686" i="10"/>
  <c r="K685" i="10"/>
  <c r="K684" i="10"/>
  <c r="K683" i="10"/>
  <c r="K682" i="10"/>
  <c r="L682" i="10" s="1"/>
  <c r="L683" i="10" s="1"/>
  <c r="L685" i="10" s="1"/>
  <c r="L684" i="10" s="1"/>
  <c r="L686" i="10" s="1"/>
  <c r="L688" i="10" s="1"/>
  <c r="L687" i="10" s="1"/>
  <c r="L689" i="10" s="1"/>
  <c r="K681" i="10"/>
  <c r="D681" i="10"/>
  <c r="D682" i="10" s="1"/>
  <c r="D683" i="10" s="1"/>
  <c r="K680" i="10"/>
  <c r="L680" i="10" s="1"/>
  <c r="L681" i="10" s="1"/>
  <c r="K679" i="10"/>
  <c r="K678" i="10"/>
  <c r="K677" i="10"/>
  <c r="K676" i="10"/>
  <c r="K675" i="10"/>
  <c r="K674" i="10"/>
  <c r="K673" i="10"/>
  <c r="K672" i="10"/>
  <c r="K671" i="10"/>
  <c r="K670" i="10"/>
  <c r="K669" i="10"/>
  <c r="K668" i="10"/>
  <c r="K667" i="10"/>
  <c r="K666" i="10"/>
  <c r="D666" i="10"/>
  <c r="D667" i="10" s="1"/>
  <c r="K665" i="10"/>
  <c r="D665" i="10"/>
  <c r="L664" i="10"/>
  <c r="L665" i="10" s="1"/>
  <c r="L666" i="10" s="1"/>
  <c r="L668" i="10" s="1"/>
  <c r="L667" i="10" s="1"/>
  <c r="L669" i="10" s="1"/>
  <c r="L670" i="10" s="1"/>
  <c r="K664" i="10"/>
  <c r="L663" i="10"/>
  <c r="K663" i="10"/>
  <c r="K662" i="10"/>
  <c r="K661" i="10"/>
  <c r="K660" i="10"/>
  <c r="K659" i="10"/>
  <c r="K658" i="10"/>
  <c r="K657" i="10"/>
  <c r="K656" i="10"/>
  <c r="K655" i="10"/>
  <c r="K654" i="10"/>
  <c r="K653" i="10"/>
  <c r="K652" i="10"/>
  <c r="K651" i="10"/>
  <c r="K650" i="10"/>
  <c r="K649" i="10"/>
  <c r="K648" i="10"/>
  <c r="K647" i="10"/>
  <c r="K646" i="10"/>
  <c r="K645" i="10"/>
  <c r="K644" i="10"/>
  <c r="K643" i="10"/>
  <c r="K642" i="10"/>
  <c r="K641" i="10"/>
  <c r="K640" i="10"/>
  <c r="D640" i="10"/>
  <c r="D641" i="10" s="1"/>
  <c r="D642" i="10" s="1"/>
  <c r="D643" i="10" s="1"/>
  <c r="D644" i="10" s="1"/>
  <c r="D645" i="10" s="1"/>
  <c r="D646" i="10" s="1"/>
  <c r="D647" i="10" s="1"/>
  <c r="D648" i="10" s="1"/>
  <c r="D649" i="10" s="1"/>
  <c r="D650" i="10" s="1"/>
  <c r="D651" i="10" s="1"/>
  <c r="D652" i="10" s="1"/>
  <c r="D653" i="10" s="1"/>
  <c r="D654" i="10" s="1"/>
  <c r="D655" i="10" s="1"/>
  <c r="D656" i="10" s="1"/>
  <c r="D657" i="10" s="1"/>
  <c r="D658" i="10" s="1"/>
  <c r="D659" i="10" s="1"/>
  <c r="D660" i="10" s="1"/>
  <c r="D661" i="10" s="1"/>
  <c r="D662" i="10" s="1"/>
  <c r="K639" i="10"/>
  <c r="K638" i="10"/>
  <c r="K637" i="10"/>
  <c r="K636" i="10"/>
  <c r="K635" i="10"/>
  <c r="K634" i="10"/>
  <c r="K633" i="10"/>
  <c r="L633" i="10" s="1"/>
  <c r="L634" i="10" s="1"/>
  <c r="L635" i="10" s="1"/>
  <c r="L636" i="10" s="1"/>
  <c r="D633" i="10"/>
  <c r="D634" i="10" s="1"/>
  <c r="D635" i="10" s="1"/>
  <c r="D636" i="10" s="1"/>
  <c r="D637" i="10" s="1"/>
  <c r="D638" i="10" s="1"/>
  <c r="D639" i="10" s="1"/>
  <c r="K632" i="10"/>
  <c r="L631" i="10"/>
  <c r="L632" i="10" s="1"/>
  <c r="K631" i="10"/>
  <c r="K630" i="10"/>
  <c r="D630" i="10"/>
  <c r="K629" i="10"/>
  <c r="D629" i="10"/>
  <c r="L628" i="10"/>
  <c r="L629" i="10" s="1"/>
  <c r="L630" i="10" s="1"/>
  <c r="K628" i="10"/>
  <c r="K627" i="10"/>
  <c r="D627" i="10"/>
  <c r="L626" i="10"/>
  <c r="L627" i="10" s="1"/>
  <c r="K626" i="10"/>
  <c r="K625" i="10"/>
  <c r="G625" i="10"/>
  <c r="G624" i="10"/>
  <c r="K624" i="10" s="1"/>
  <c r="K623" i="10"/>
  <c r="G623" i="10"/>
  <c r="G622" i="10"/>
  <c r="K622" i="10" s="1"/>
  <c r="K621" i="10"/>
  <c r="G621" i="10"/>
  <c r="G620" i="10"/>
  <c r="K620" i="10" s="1"/>
  <c r="K619" i="10"/>
  <c r="G619" i="10"/>
  <c r="G618" i="10"/>
  <c r="K618" i="10" s="1"/>
  <c r="K617" i="10"/>
  <c r="G617" i="10"/>
  <c r="G616" i="10"/>
  <c r="K616" i="10" s="1"/>
  <c r="K615" i="10"/>
  <c r="G615" i="10"/>
  <c r="G614" i="10"/>
  <c r="K614" i="10" s="1"/>
  <c r="K613" i="10"/>
  <c r="G613" i="10"/>
  <c r="D613" i="10"/>
  <c r="D614" i="10" s="1"/>
  <c r="D615" i="10" s="1"/>
  <c r="D616" i="10" s="1"/>
  <c r="D617" i="10" s="1"/>
  <c r="D618" i="10" s="1"/>
  <c r="D619" i="10" s="1"/>
  <c r="D620" i="10" s="1"/>
  <c r="D621" i="10" s="1"/>
  <c r="D622" i="10" s="1"/>
  <c r="D623" i="10" s="1"/>
  <c r="D624" i="10" s="1"/>
  <c r="D625" i="10" s="1"/>
  <c r="G612" i="10"/>
  <c r="K612" i="10" s="1"/>
  <c r="L611" i="10"/>
  <c r="K611" i="10"/>
  <c r="K610" i="10"/>
  <c r="K609" i="10"/>
  <c r="K608" i="10"/>
  <c r="K607" i="10"/>
  <c r="K606" i="10"/>
  <c r="K605" i="10"/>
  <c r="E604" i="10"/>
  <c r="K604" i="10" s="1"/>
  <c r="E603" i="10"/>
  <c r="K603" i="10" s="1"/>
  <c r="K602" i="10"/>
  <c r="K601" i="10"/>
  <c r="K600" i="10"/>
  <c r="K599" i="10"/>
  <c r="K598" i="10"/>
  <c r="K597" i="10"/>
  <c r="K596" i="10"/>
  <c r="K595" i="10"/>
  <c r="E595" i="10"/>
  <c r="E594" i="10"/>
  <c r="K594" i="10" s="1"/>
  <c r="K593" i="10"/>
  <c r="K592" i="10"/>
  <c r="K591" i="10"/>
  <c r="K590" i="10"/>
  <c r="K589" i="10"/>
  <c r="K588" i="10"/>
  <c r="D588" i="10"/>
  <c r="D589" i="10" s="1"/>
  <c r="D590" i="10" s="1"/>
  <c r="D591" i="10" s="1"/>
  <c r="D592" i="10" s="1"/>
  <c r="D593" i="10" s="1"/>
  <c r="D594" i="10" s="1"/>
  <c r="D595" i="10" s="1"/>
  <c r="D596" i="10" s="1"/>
  <c r="D597" i="10" s="1"/>
  <c r="D598" i="10" s="1"/>
  <c r="D599" i="10" s="1"/>
  <c r="D600" i="10" s="1"/>
  <c r="D601" i="10" s="1"/>
  <c r="D602" i="10" s="1"/>
  <c r="D603" i="10" s="1"/>
  <c r="D604" i="10" s="1"/>
  <c r="D605" i="10" s="1"/>
  <c r="D606" i="10" s="1"/>
  <c r="D607" i="10" s="1"/>
  <c r="D608" i="10" s="1"/>
  <c r="D609" i="10" s="1"/>
  <c r="D610" i="10" s="1"/>
  <c r="K587" i="10"/>
  <c r="K586" i="10"/>
  <c r="E586" i="10"/>
  <c r="L585" i="10"/>
  <c r="L586" i="10" s="1"/>
  <c r="L587" i="10" s="1"/>
  <c r="L588" i="10" s="1"/>
  <c r="L589" i="10" s="1"/>
  <c r="L590" i="10" s="1"/>
  <c r="L591" i="10" s="1"/>
  <c r="L592" i="10" s="1"/>
  <c r="L593" i="10" s="1"/>
  <c r="L594" i="10" s="1"/>
  <c r="L595" i="10" s="1"/>
  <c r="L596" i="10" s="1"/>
  <c r="L597" i="10" s="1"/>
  <c r="L598" i="10" s="1"/>
  <c r="L599" i="10" s="1"/>
  <c r="L600" i="10" s="1"/>
  <c r="L601" i="10" s="1"/>
  <c r="L602" i="10" s="1"/>
  <c r="L603" i="10" s="1"/>
  <c r="L604" i="10" s="1"/>
  <c r="L605" i="10" s="1"/>
  <c r="L606" i="10" s="1"/>
  <c r="L607" i="10" s="1"/>
  <c r="L608" i="10" s="1"/>
  <c r="L609" i="10" s="1"/>
  <c r="L610" i="10" s="1"/>
  <c r="K585" i="10"/>
  <c r="E585" i="10"/>
  <c r="D585" i="10"/>
  <c r="D586" i="10" s="1"/>
  <c r="D587" i="10" s="1"/>
  <c r="K584" i="10"/>
  <c r="L584" i="10" s="1"/>
  <c r="K583" i="10"/>
  <c r="K582" i="10"/>
  <c r="K581" i="10"/>
  <c r="K580" i="10"/>
  <c r="L580" i="10" s="1"/>
  <c r="L581" i="10" s="1"/>
  <c r="L582" i="10" s="1"/>
  <c r="L583" i="10" s="1"/>
  <c r="E579" i="10"/>
  <c r="K579" i="10" s="1"/>
  <c r="K578" i="10"/>
  <c r="K577" i="10"/>
  <c r="K576" i="10"/>
  <c r="K575" i="10"/>
  <c r="K574" i="10"/>
  <c r="K573" i="10"/>
  <c r="K572" i="10"/>
  <c r="D572" i="10"/>
  <c r="D573" i="10" s="1"/>
  <c r="D574" i="10" s="1"/>
  <c r="D575" i="10" s="1"/>
  <c r="D576" i="10" s="1"/>
  <c r="D577" i="10" s="1"/>
  <c r="D578" i="10" s="1"/>
  <c r="D579" i="10" s="1"/>
  <c r="K571" i="10"/>
  <c r="L571" i="10" s="1"/>
  <c r="K570" i="10"/>
  <c r="K569" i="10"/>
  <c r="L569" i="10" s="1"/>
  <c r="L570" i="10" s="1"/>
  <c r="K568" i="10"/>
  <c r="K567" i="10"/>
  <c r="K566" i="10"/>
  <c r="K565" i="10"/>
  <c r="K564" i="10"/>
  <c r="K563" i="10"/>
  <c r="E563" i="10"/>
  <c r="K562" i="10"/>
  <c r="E562" i="10"/>
  <c r="K561" i="10"/>
  <c r="K560" i="10"/>
  <c r="K559" i="10"/>
  <c r="K558" i="10"/>
  <c r="K557" i="10"/>
  <c r="E556" i="10"/>
  <c r="K556" i="10" s="1"/>
  <c r="K555" i="10"/>
  <c r="E555" i="10"/>
  <c r="K554" i="10"/>
  <c r="K553" i="10"/>
  <c r="K552" i="10"/>
  <c r="K551" i="10"/>
  <c r="K550" i="10"/>
  <c r="E549" i="10"/>
  <c r="K549" i="10" s="1"/>
  <c r="E548" i="10"/>
  <c r="K548" i="10" s="1"/>
  <c r="K547" i="10"/>
  <c r="K546" i="10"/>
  <c r="K545" i="10"/>
  <c r="K544" i="10"/>
  <c r="K543" i="10"/>
  <c r="K542" i="10"/>
  <c r="E542" i="10"/>
  <c r="K541" i="10"/>
  <c r="E541" i="10"/>
  <c r="D541" i="10"/>
  <c r="D542" i="10" s="1"/>
  <c r="D543" i="10" s="1"/>
  <c r="D544" i="10" s="1"/>
  <c r="D545" i="10" s="1"/>
  <c r="D546" i="10" s="1"/>
  <c r="D547" i="10" s="1"/>
  <c r="D548" i="10" s="1"/>
  <c r="D549" i="10" s="1"/>
  <c r="D550" i="10" s="1"/>
  <c r="D551" i="10" s="1"/>
  <c r="D552" i="10" s="1"/>
  <c r="D553" i="10" s="1"/>
  <c r="D554" i="10" s="1"/>
  <c r="D555" i="10" s="1"/>
  <c r="D556" i="10" s="1"/>
  <c r="D557" i="10" s="1"/>
  <c r="D558" i="10" s="1"/>
  <c r="D559" i="10" s="1"/>
  <c r="D560" i="10" s="1"/>
  <c r="D561" i="10" s="1"/>
  <c r="D562" i="10" s="1"/>
  <c r="D563" i="10" s="1"/>
  <c r="D564" i="10" s="1"/>
  <c r="D565" i="10" s="1"/>
  <c r="D566" i="10" s="1"/>
  <c r="D567" i="10" s="1"/>
  <c r="D568" i="10" s="1"/>
  <c r="K540" i="10"/>
  <c r="K539" i="10"/>
  <c r="K538" i="10"/>
  <c r="K537" i="10"/>
  <c r="K536" i="10"/>
  <c r="K535" i="10"/>
  <c r="E535" i="10"/>
  <c r="K534" i="10"/>
  <c r="E534" i="10"/>
  <c r="K533" i="10"/>
  <c r="K532" i="10"/>
  <c r="K531" i="10"/>
  <c r="K530" i="10"/>
  <c r="K529" i="10"/>
  <c r="K528" i="10"/>
  <c r="E528" i="10"/>
  <c r="E527" i="10"/>
  <c r="K527" i="10" s="1"/>
  <c r="K526" i="10"/>
  <c r="K525" i="10"/>
  <c r="K524" i="10"/>
  <c r="K523" i="10"/>
  <c r="K522" i="10"/>
  <c r="E521" i="10"/>
  <c r="K521" i="10" s="1"/>
  <c r="E520" i="10"/>
  <c r="K520" i="10" s="1"/>
  <c r="K519" i="10"/>
  <c r="K518" i="10"/>
  <c r="K517" i="10"/>
  <c r="K516" i="10"/>
  <c r="K515" i="10"/>
  <c r="K514" i="10"/>
  <c r="E514" i="10"/>
  <c r="K513" i="10"/>
  <c r="E513" i="10"/>
  <c r="K512" i="10"/>
  <c r="K511" i="10"/>
  <c r="K510" i="10"/>
  <c r="K509" i="10"/>
  <c r="K508" i="10"/>
  <c r="K507" i="10"/>
  <c r="E507" i="10"/>
  <c r="L506" i="10"/>
  <c r="K506" i="10"/>
  <c r="E506" i="10"/>
  <c r="D506" i="10"/>
  <c r="D507" i="10" s="1"/>
  <c r="D508" i="10" s="1"/>
  <c r="D509" i="10" s="1"/>
  <c r="D510" i="10" s="1"/>
  <c r="D511" i="10" s="1"/>
  <c r="D512" i="10" s="1"/>
  <c r="D513" i="10" s="1"/>
  <c r="D514" i="10" s="1"/>
  <c r="D515" i="10" s="1"/>
  <c r="D516" i="10" s="1"/>
  <c r="D517" i="10" s="1"/>
  <c r="D518" i="10" s="1"/>
  <c r="D519" i="10" s="1"/>
  <c r="D520" i="10" s="1"/>
  <c r="D521" i="10" s="1"/>
  <c r="D522" i="10" s="1"/>
  <c r="D523" i="10" s="1"/>
  <c r="D524" i="10" s="1"/>
  <c r="D525" i="10" s="1"/>
  <c r="D526" i="10" s="1"/>
  <c r="D527" i="10" s="1"/>
  <c r="D528" i="10" s="1"/>
  <c r="D529" i="10" s="1"/>
  <c r="D530" i="10" s="1"/>
  <c r="D531" i="10" s="1"/>
  <c r="D532" i="10" s="1"/>
  <c r="D533" i="10" s="1"/>
  <c r="D534" i="10" s="1"/>
  <c r="D535" i="10" s="1"/>
  <c r="D536" i="10" s="1"/>
  <c r="D537" i="10" s="1"/>
  <c r="D538" i="10" s="1"/>
  <c r="D539" i="10" s="1"/>
  <c r="D540" i="10" s="1"/>
  <c r="K505" i="10"/>
  <c r="L505" i="10" s="1"/>
  <c r="E504" i="10"/>
  <c r="K504" i="10" s="1"/>
  <c r="E503" i="10"/>
  <c r="K503" i="10" s="1"/>
  <c r="E502" i="10"/>
  <c r="K502" i="10" s="1"/>
  <c r="K501" i="10"/>
  <c r="K500" i="10"/>
  <c r="E500" i="10"/>
  <c r="K499" i="10"/>
  <c r="K498" i="10"/>
  <c r="E498" i="10"/>
  <c r="K497" i="10"/>
  <c r="E496" i="10"/>
  <c r="K496" i="10" s="1"/>
  <c r="K495" i="10"/>
  <c r="E494" i="10"/>
  <c r="K494" i="10" s="1"/>
  <c r="K493" i="10"/>
  <c r="K492" i="10"/>
  <c r="E492" i="10"/>
  <c r="K491" i="10"/>
  <c r="K490" i="10"/>
  <c r="E490" i="10"/>
  <c r="K489" i="10"/>
  <c r="K488" i="10"/>
  <c r="E488" i="10"/>
  <c r="K487" i="10"/>
  <c r="E486" i="10"/>
  <c r="K486" i="10" s="1"/>
  <c r="K485" i="10"/>
  <c r="K484" i="10"/>
  <c r="E484" i="10"/>
  <c r="K483" i="10"/>
  <c r="K482" i="10"/>
  <c r="E482" i="10"/>
  <c r="K481" i="10"/>
  <c r="E480" i="10"/>
  <c r="K480" i="10" s="1"/>
  <c r="K479" i="10"/>
  <c r="E478" i="10"/>
  <c r="K478" i="10" s="1"/>
  <c r="K477" i="10"/>
  <c r="K476" i="10"/>
  <c r="E476" i="10"/>
  <c r="K475" i="10"/>
  <c r="K474" i="10"/>
  <c r="E474" i="10"/>
  <c r="K473" i="10"/>
  <c r="K472" i="10"/>
  <c r="E472" i="10"/>
  <c r="K471" i="10"/>
  <c r="E470" i="10"/>
  <c r="K470" i="10" s="1"/>
  <c r="K469" i="10"/>
  <c r="K468" i="10"/>
  <c r="E468" i="10"/>
  <c r="D468" i="10"/>
  <c r="D469" i="10" s="1"/>
  <c r="D470" i="10" s="1"/>
  <c r="D471" i="10" s="1"/>
  <c r="D472" i="10" s="1"/>
  <c r="D473" i="10" s="1"/>
  <c r="D474" i="10" s="1"/>
  <c r="D475" i="10" s="1"/>
  <c r="D476" i="10" s="1"/>
  <c r="D477" i="10" s="1"/>
  <c r="D478" i="10" s="1"/>
  <c r="D479" i="10" s="1"/>
  <c r="D480" i="10" s="1"/>
  <c r="D481" i="10" s="1"/>
  <c r="D482" i="10" s="1"/>
  <c r="D483" i="10" s="1"/>
  <c r="D484" i="10" s="1"/>
  <c r="D485" i="10" s="1"/>
  <c r="D486" i="10" s="1"/>
  <c r="D487" i="10" s="1"/>
  <c r="D488" i="10" s="1"/>
  <c r="D489" i="10" s="1"/>
  <c r="D490" i="10" s="1"/>
  <c r="D491" i="10" s="1"/>
  <c r="D492" i="10" s="1"/>
  <c r="D493" i="10" s="1"/>
  <c r="D494" i="10" s="1"/>
  <c r="D495" i="10" s="1"/>
  <c r="D496" i="10" s="1"/>
  <c r="D497" i="10" s="1"/>
  <c r="D498" i="10" s="1"/>
  <c r="D499" i="10" s="1"/>
  <c r="D500" i="10" s="1"/>
  <c r="D501" i="10" s="1"/>
  <c r="D502" i="10" s="1"/>
  <c r="D503" i="10" s="1"/>
  <c r="D504" i="10" s="1"/>
  <c r="K467" i="10"/>
  <c r="K466" i="10"/>
  <c r="E466" i="10"/>
  <c r="K465" i="10"/>
  <c r="E464" i="10"/>
  <c r="K464" i="10" s="1"/>
  <c r="K463" i="10"/>
  <c r="E462" i="10"/>
  <c r="K462" i="10" s="1"/>
  <c r="L462" i="10" s="1"/>
  <c r="D462" i="10"/>
  <c r="D463" i="10" s="1"/>
  <c r="D464" i="10" s="1"/>
  <c r="D465" i="10" s="1"/>
  <c r="D466" i="10" s="1"/>
  <c r="D467" i="10" s="1"/>
  <c r="K461" i="10"/>
  <c r="L460" i="10"/>
  <c r="L461" i="10" s="1"/>
  <c r="K460" i="10"/>
  <c r="E460" i="10"/>
  <c r="E459" i="10"/>
  <c r="K459" i="10" s="1"/>
  <c r="K458" i="10"/>
  <c r="E457" i="10"/>
  <c r="K457" i="10" s="1"/>
  <c r="K456" i="10"/>
  <c r="K455" i="10"/>
  <c r="E455" i="10"/>
  <c r="K454" i="10"/>
  <c r="K453" i="10"/>
  <c r="E453" i="10"/>
  <c r="K452" i="10"/>
  <c r="K451" i="10"/>
  <c r="E451" i="10"/>
  <c r="K450" i="10"/>
  <c r="E449" i="10"/>
  <c r="K449" i="10" s="1"/>
  <c r="K448" i="10"/>
  <c r="K447" i="10"/>
  <c r="E447" i="10"/>
  <c r="K446" i="10"/>
  <c r="E446" i="10"/>
  <c r="K445" i="10"/>
  <c r="K444" i="10"/>
  <c r="E444" i="10"/>
  <c r="K443" i="10"/>
  <c r="K442" i="10"/>
  <c r="E442" i="10"/>
  <c r="K441" i="10"/>
  <c r="E440" i="10"/>
  <c r="K440" i="10" s="1"/>
  <c r="K439" i="10"/>
  <c r="K438" i="10"/>
  <c r="E438" i="10"/>
  <c r="K437" i="10"/>
  <c r="K436" i="10"/>
  <c r="E436" i="10"/>
  <c r="K435" i="10"/>
  <c r="E434" i="10"/>
  <c r="K434" i="10" s="1"/>
  <c r="K433" i="10"/>
  <c r="E433" i="10"/>
  <c r="K432" i="10"/>
  <c r="E431" i="10"/>
  <c r="K431" i="10" s="1"/>
  <c r="K430" i="10"/>
  <c r="K429" i="10"/>
  <c r="E429" i="10"/>
  <c r="D429" i="10"/>
  <c r="D430" i="10" s="1"/>
  <c r="D431" i="10" s="1"/>
  <c r="D432" i="10" s="1"/>
  <c r="D433" i="10" s="1"/>
  <c r="D434" i="10" s="1"/>
  <c r="D435" i="10" s="1"/>
  <c r="D436" i="10" s="1"/>
  <c r="D437" i="10" s="1"/>
  <c r="D438" i="10" s="1"/>
  <c r="D439" i="10" s="1"/>
  <c r="D440" i="10" s="1"/>
  <c r="D441" i="10" s="1"/>
  <c r="D442" i="10" s="1"/>
  <c r="D443" i="10" s="1"/>
  <c r="D444" i="10" s="1"/>
  <c r="D445" i="10" s="1"/>
  <c r="D446" i="10" s="1"/>
  <c r="D447" i="10" s="1"/>
  <c r="D448" i="10" s="1"/>
  <c r="D449" i="10" s="1"/>
  <c r="D450" i="10" s="1"/>
  <c r="D451" i="10" s="1"/>
  <c r="D452" i="10" s="1"/>
  <c r="D453" i="10" s="1"/>
  <c r="D454" i="10" s="1"/>
  <c r="D455" i="10" s="1"/>
  <c r="D456" i="10" s="1"/>
  <c r="D457" i="10" s="1"/>
  <c r="D458" i="10" s="1"/>
  <c r="D459" i="10" s="1"/>
  <c r="K428" i="10"/>
  <c r="K427" i="10"/>
  <c r="E427" i="10"/>
  <c r="K426" i="10"/>
  <c r="E425" i="10"/>
  <c r="K425" i="10" s="1"/>
  <c r="K424" i="10"/>
  <c r="E423" i="10"/>
  <c r="K423" i="10" s="1"/>
  <c r="D423" i="10"/>
  <c r="D424" i="10" s="1"/>
  <c r="D425" i="10" s="1"/>
  <c r="D426" i="10" s="1"/>
  <c r="D427" i="10" s="1"/>
  <c r="D428" i="10" s="1"/>
  <c r="K422" i="10"/>
  <c r="D422" i="10"/>
  <c r="K421" i="10"/>
  <c r="L421" i="10" s="1"/>
  <c r="L422" i="10" s="1"/>
  <c r="E421" i="10"/>
  <c r="K420" i="10"/>
  <c r="L420" i="10" s="1"/>
  <c r="E419" i="10"/>
  <c r="K419" i="10" s="1"/>
  <c r="L419" i="10" s="1"/>
  <c r="K418" i="10"/>
  <c r="K417" i="10"/>
  <c r="K416" i="10"/>
  <c r="E416" i="10"/>
  <c r="K415" i="10"/>
  <c r="E414" i="10"/>
  <c r="K414" i="10" s="1"/>
  <c r="K413" i="10"/>
  <c r="K412" i="10"/>
  <c r="E411" i="10"/>
  <c r="K411" i="10" s="1"/>
  <c r="K410" i="10"/>
  <c r="K409" i="10"/>
  <c r="E409" i="10"/>
  <c r="K408" i="10"/>
  <c r="K407" i="10"/>
  <c r="K406" i="10"/>
  <c r="E406" i="10"/>
  <c r="K405" i="10"/>
  <c r="E404" i="10"/>
  <c r="K404" i="10" s="1"/>
  <c r="K403" i="10"/>
  <c r="K402" i="10"/>
  <c r="E401" i="10"/>
  <c r="K401" i="10" s="1"/>
  <c r="K400" i="10"/>
  <c r="E399" i="10"/>
  <c r="K399" i="10" s="1"/>
  <c r="K398" i="10"/>
  <c r="K397" i="10"/>
  <c r="E396" i="10"/>
  <c r="K396" i="10" s="1"/>
  <c r="K395" i="10"/>
  <c r="K394" i="10"/>
  <c r="E394" i="10"/>
  <c r="K393" i="10"/>
  <c r="K392" i="10"/>
  <c r="K391" i="10"/>
  <c r="E391" i="10"/>
  <c r="K390" i="10"/>
  <c r="E389" i="10"/>
  <c r="K389" i="10" s="1"/>
  <c r="K388" i="10"/>
  <c r="K387" i="10"/>
  <c r="E386" i="10"/>
  <c r="K386" i="10" s="1"/>
  <c r="K385" i="10"/>
  <c r="K384" i="10"/>
  <c r="E384" i="10"/>
  <c r="K383" i="10"/>
  <c r="K382" i="10"/>
  <c r="K381" i="10"/>
  <c r="E381" i="10"/>
  <c r="K380" i="10"/>
  <c r="E379" i="10"/>
  <c r="K379" i="10" s="1"/>
  <c r="K378" i="10"/>
  <c r="K377" i="10"/>
  <c r="E376" i="10"/>
  <c r="K376" i="10" s="1"/>
  <c r="K375" i="10"/>
  <c r="D375" i="10"/>
  <c r="D376" i="10" s="1"/>
  <c r="D377" i="10" s="1"/>
  <c r="D378" i="10" s="1"/>
  <c r="D379" i="10" s="1"/>
  <c r="D380" i="10" s="1"/>
  <c r="D381" i="10" s="1"/>
  <c r="D382" i="10" s="1"/>
  <c r="D383" i="10" s="1"/>
  <c r="D384" i="10" s="1"/>
  <c r="D385" i="10" s="1"/>
  <c r="D386" i="10" s="1"/>
  <c r="D387" i="10" s="1"/>
  <c r="D388" i="10" s="1"/>
  <c r="D389" i="10" s="1"/>
  <c r="D390" i="10" s="1"/>
  <c r="D391" i="10" s="1"/>
  <c r="D392" i="10" s="1"/>
  <c r="D393" i="10" s="1"/>
  <c r="D394" i="10" s="1"/>
  <c r="D395" i="10" s="1"/>
  <c r="D396" i="10" s="1"/>
  <c r="D397" i="10" s="1"/>
  <c r="D398" i="10" s="1"/>
  <c r="D399" i="10" s="1"/>
  <c r="D400" i="10" s="1"/>
  <c r="D401" i="10" s="1"/>
  <c r="D402" i="10" s="1"/>
  <c r="D403" i="10" s="1"/>
  <c r="D404" i="10" s="1"/>
  <c r="D405" i="10" s="1"/>
  <c r="D406" i="10" s="1"/>
  <c r="D407" i="10" s="1"/>
  <c r="D408" i="10" s="1"/>
  <c r="D409" i="10" s="1"/>
  <c r="D410" i="10" s="1"/>
  <c r="D411" i="10" s="1"/>
  <c r="D412" i="10" s="1"/>
  <c r="D413" i="10" s="1"/>
  <c r="D414" i="10" s="1"/>
  <c r="D415" i="10" s="1"/>
  <c r="D416" i="10" s="1"/>
  <c r="D417" i="10" s="1"/>
  <c r="D418" i="10" s="1"/>
  <c r="K374" i="10"/>
  <c r="E374" i="10"/>
  <c r="D374" i="10"/>
  <c r="K373" i="10"/>
  <c r="L373" i="10" s="1"/>
  <c r="L374" i="10" s="1"/>
  <c r="L375" i="10" s="1"/>
  <c r="L376" i="10" s="1"/>
  <c r="L377" i="10" s="1"/>
  <c r="L378" i="10" s="1"/>
  <c r="L379" i="10" s="1"/>
  <c r="L380" i="10" s="1"/>
  <c r="L381" i="10" s="1"/>
  <c r="L382" i="10" s="1"/>
  <c r="L383" i="10" s="1"/>
  <c r="L384" i="10" s="1"/>
  <c r="L385" i="10" s="1"/>
  <c r="L386" i="10" s="1"/>
  <c r="L387" i="10" s="1"/>
  <c r="L388" i="10" s="1"/>
  <c r="L389" i="10" s="1"/>
  <c r="L390" i="10" s="1"/>
  <c r="L391" i="10" s="1"/>
  <c r="L392" i="10" s="1"/>
  <c r="L393" i="10" s="1"/>
  <c r="L394" i="10" s="1"/>
  <c r="L395" i="10" s="1"/>
  <c r="L396" i="10" s="1"/>
  <c r="L397" i="10" s="1"/>
  <c r="L398" i="10" s="1"/>
  <c r="L399" i="10" s="1"/>
  <c r="L400" i="10" s="1"/>
  <c r="L401" i="10" s="1"/>
  <c r="L402" i="10" s="1"/>
  <c r="L403" i="10" s="1"/>
  <c r="L404" i="10" s="1"/>
  <c r="L405" i="10" s="1"/>
  <c r="L406" i="10" s="1"/>
  <c r="L407" i="10" s="1"/>
  <c r="L408" i="10" s="1"/>
  <c r="L409" i="10" s="1"/>
  <c r="L410" i="10" s="1"/>
  <c r="L411" i="10" s="1"/>
  <c r="L412" i="10" s="1"/>
  <c r="L413" i="10" s="1"/>
  <c r="L414" i="10" s="1"/>
  <c r="L415" i="10" s="1"/>
  <c r="L416" i="10" s="1"/>
  <c r="L417" i="10" s="1"/>
  <c r="L418" i="10" s="1"/>
  <c r="K372" i="10"/>
  <c r="H372" i="10"/>
  <c r="F372" i="10"/>
  <c r="E372" i="10"/>
  <c r="H371" i="10"/>
  <c r="F371" i="10"/>
  <c r="K371" i="10" s="1"/>
  <c r="H370" i="10"/>
  <c r="F370" i="10"/>
  <c r="E370" i="10"/>
  <c r="K370" i="10" s="1"/>
  <c r="H369" i="10"/>
  <c r="K369" i="10" s="1"/>
  <c r="F369" i="10"/>
  <c r="H368" i="10"/>
  <c r="F368" i="10"/>
  <c r="K368" i="10" s="1"/>
  <c r="E368" i="10"/>
  <c r="K367" i="10"/>
  <c r="H367" i="10"/>
  <c r="F367" i="10"/>
  <c r="H366" i="10"/>
  <c r="K366" i="10" s="1"/>
  <c r="H365" i="10"/>
  <c r="K365" i="10" s="1"/>
  <c r="F365" i="10"/>
  <c r="K364" i="10"/>
  <c r="H364" i="10"/>
  <c r="F364" i="10"/>
  <c r="E364" i="10"/>
  <c r="K363" i="10"/>
  <c r="H363" i="10"/>
  <c r="F363" i="10"/>
  <c r="H362" i="10"/>
  <c r="F362" i="10"/>
  <c r="E362" i="10"/>
  <c r="K362" i="10" s="1"/>
  <c r="H361" i="10"/>
  <c r="F361" i="10"/>
  <c r="K361" i="10" s="1"/>
  <c r="K360" i="10"/>
  <c r="H360" i="10"/>
  <c r="F360" i="10"/>
  <c r="E360" i="10"/>
  <c r="H359" i="10"/>
  <c r="F359" i="10"/>
  <c r="K359" i="10" s="1"/>
  <c r="H358" i="10"/>
  <c r="F358" i="10"/>
  <c r="E358" i="10"/>
  <c r="K358" i="10" s="1"/>
  <c r="H357" i="10"/>
  <c r="K357" i="10" s="1"/>
  <c r="F357" i="10"/>
  <c r="H356" i="10"/>
  <c r="F356" i="10"/>
  <c r="K356" i="10" s="1"/>
  <c r="E356" i="10"/>
  <c r="K355" i="10"/>
  <c r="H355" i="10"/>
  <c r="F355" i="10"/>
  <c r="H354" i="10"/>
  <c r="K354" i="10" s="1"/>
  <c r="H353" i="10"/>
  <c r="K353" i="10" s="1"/>
  <c r="F353" i="10"/>
  <c r="K352" i="10"/>
  <c r="H352" i="10"/>
  <c r="F352" i="10"/>
  <c r="E352" i="10"/>
  <c r="K351" i="10"/>
  <c r="H351" i="10"/>
  <c r="F351" i="10"/>
  <c r="H350" i="10"/>
  <c r="F350" i="10"/>
  <c r="E350" i="10"/>
  <c r="K350" i="10" s="1"/>
  <c r="H349" i="10"/>
  <c r="F349" i="10"/>
  <c r="K349" i="10" s="1"/>
  <c r="K348" i="10"/>
  <c r="H348" i="10"/>
  <c r="F348" i="10"/>
  <c r="E348" i="10"/>
  <c r="H347" i="10"/>
  <c r="F347" i="10"/>
  <c r="K347" i="10" s="1"/>
  <c r="H346" i="10"/>
  <c r="F346" i="10"/>
  <c r="E346" i="10"/>
  <c r="K346" i="10" s="1"/>
  <c r="H345" i="10"/>
  <c r="K345" i="10" s="1"/>
  <c r="F345" i="10"/>
  <c r="H344" i="10"/>
  <c r="F344" i="10"/>
  <c r="K344" i="10" s="1"/>
  <c r="E344" i="10"/>
  <c r="K343" i="10"/>
  <c r="H343" i="10"/>
  <c r="F343" i="10"/>
  <c r="H342" i="10"/>
  <c r="K342" i="10" s="1"/>
  <c r="H341" i="10"/>
  <c r="K341" i="10" s="1"/>
  <c r="F341" i="10"/>
  <c r="D341" i="10"/>
  <c r="D342" i="10" s="1"/>
  <c r="D343" i="10" s="1"/>
  <c r="D344" i="10" s="1"/>
  <c r="D345" i="10" s="1"/>
  <c r="D346" i="10" s="1"/>
  <c r="D347" i="10" s="1"/>
  <c r="D348" i="10" s="1"/>
  <c r="D349" i="10" s="1"/>
  <c r="D350" i="10" s="1"/>
  <c r="D351" i="10" s="1"/>
  <c r="D352" i="10" s="1"/>
  <c r="D353" i="10" s="1"/>
  <c r="D354" i="10" s="1"/>
  <c r="D355" i="10" s="1"/>
  <c r="D356" i="10" s="1"/>
  <c r="D357" i="10" s="1"/>
  <c r="D358" i="10" s="1"/>
  <c r="D359" i="10" s="1"/>
  <c r="D360" i="10" s="1"/>
  <c r="D361" i="10" s="1"/>
  <c r="D362" i="10" s="1"/>
  <c r="D363" i="10" s="1"/>
  <c r="D364" i="10" s="1"/>
  <c r="D365" i="10" s="1"/>
  <c r="D366" i="10" s="1"/>
  <c r="D367" i="10" s="1"/>
  <c r="D368" i="10" s="1"/>
  <c r="D369" i="10" s="1"/>
  <c r="D370" i="10" s="1"/>
  <c r="D371" i="10" s="1"/>
  <c r="D372" i="10" s="1"/>
  <c r="K340" i="10"/>
  <c r="H340" i="10"/>
  <c r="F340" i="10"/>
  <c r="E340" i="10"/>
  <c r="K339" i="10"/>
  <c r="H339" i="10"/>
  <c r="F339" i="10"/>
  <c r="H338" i="10"/>
  <c r="F338" i="10"/>
  <c r="E338" i="10"/>
  <c r="K338" i="10" s="1"/>
  <c r="H337" i="10"/>
  <c r="F337" i="10"/>
  <c r="K337" i="10" s="1"/>
  <c r="K336" i="10"/>
  <c r="H336" i="10"/>
  <c r="F336" i="10"/>
  <c r="E336" i="10"/>
  <c r="H335" i="10"/>
  <c r="F335" i="10"/>
  <c r="K335" i="10" s="1"/>
  <c r="H334" i="10"/>
  <c r="F334" i="10"/>
  <c r="E334" i="10"/>
  <c r="K334" i="10" s="1"/>
  <c r="H333" i="10"/>
  <c r="K333" i="10" s="1"/>
  <c r="F333" i="10"/>
  <c r="H332" i="10"/>
  <c r="F332" i="10"/>
  <c r="K332" i="10" s="1"/>
  <c r="E332" i="10"/>
  <c r="K331" i="10"/>
  <c r="H331" i="10"/>
  <c r="F331" i="10"/>
  <c r="L330" i="10"/>
  <c r="L331" i="10" s="1"/>
  <c r="L332" i="10" s="1"/>
  <c r="L333" i="10" s="1"/>
  <c r="L334" i="10" s="1"/>
  <c r="L335" i="10" s="1"/>
  <c r="L336" i="10" s="1"/>
  <c r="L337" i="10" s="1"/>
  <c r="L338" i="10" s="1"/>
  <c r="L339" i="10" s="1"/>
  <c r="L340" i="10" s="1"/>
  <c r="L341" i="10" s="1"/>
  <c r="L342" i="10" s="1"/>
  <c r="L343" i="10" s="1"/>
  <c r="L344" i="10" s="1"/>
  <c r="L345" i="10" s="1"/>
  <c r="L346" i="10" s="1"/>
  <c r="L347" i="10" s="1"/>
  <c r="L348" i="10" s="1"/>
  <c r="L349" i="10" s="1"/>
  <c r="L350" i="10" s="1"/>
  <c r="L351" i="10" s="1"/>
  <c r="L352" i="10" s="1"/>
  <c r="L353" i="10" s="1"/>
  <c r="L354" i="10" s="1"/>
  <c r="L355" i="10" s="1"/>
  <c r="L356" i="10" s="1"/>
  <c r="L357" i="10" s="1"/>
  <c r="L358" i="10" s="1"/>
  <c r="L359" i="10" s="1"/>
  <c r="L360" i="10" s="1"/>
  <c r="L361" i="10" s="1"/>
  <c r="L362" i="10" s="1"/>
  <c r="L363" i="10" s="1"/>
  <c r="L364" i="10" s="1"/>
  <c r="L365" i="10" s="1"/>
  <c r="L366" i="10" s="1"/>
  <c r="L367" i="10" s="1"/>
  <c r="L368" i="10" s="1"/>
  <c r="L369" i="10" s="1"/>
  <c r="L370" i="10" s="1"/>
  <c r="L371" i="10" s="1"/>
  <c r="L372" i="10" s="1"/>
  <c r="H330" i="10"/>
  <c r="K330" i="10" s="1"/>
  <c r="F330" i="10"/>
  <c r="D330" i="10"/>
  <c r="D331" i="10" s="1"/>
  <c r="D332" i="10" s="1"/>
  <c r="D333" i="10" s="1"/>
  <c r="D334" i="10" s="1"/>
  <c r="D335" i="10" s="1"/>
  <c r="D336" i="10" s="1"/>
  <c r="D337" i="10" s="1"/>
  <c r="D338" i="10" s="1"/>
  <c r="D339" i="10" s="1"/>
  <c r="D340" i="10" s="1"/>
  <c r="K329" i="10"/>
  <c r="L329" i="10" s="1"/>
  <c r="E329" i="10"/>
  <c r="K328" i="10"/>
  <c r="K327" i="10"/>
  <c r="K326" i="10"/>
  <c r="K325" i="10"/>
  <c r="E324" i="10"/>
  <c r="K324" i="10" s="1"/>
  <c r="K323" i="10"/>
  <c r="K322" i="10"/>
  <c r="E322" i="10"/>
  <c r="K321" i="10"/>
  <c r="K320" i="10"/>
  <c r="K319" i="10"/>
  <c r="K318" i="10"/>
  <c r="K317" i="10"/>
  <c r="E316" i="10"/>
  <c r="K316" i="10" s="1"/>
  <c r="K315" i="10"/>
  <c r="K314" i="10"/>
  <c r="E314" i="10"/>
  <c r="K313" i="10"/>
  <c r="K312" i="10"/>
  <c r="K311" i="10"/>
  <c r="K310" i="10"/>
  <c r="K309" i="10"/>
  <c r="K308" i="10"/>
  <c r="K307" i="10"/>
  <c r="K306" i="10"/>
  <c r="K305" i="10"/>
  <c r="K304" i="10"/>
  <c r="D304" i="10"/>
  <c r="D305" i="10" s="1"/>
  <c r="D306" i="10" s="1"/>
  <c r="K303" i="10"/>
  <c r="L303" i="10" s="1"/>
  <c r="L304" i="10" s="1"/>
  <c r="L305" i="10" s="1"/>
  <c r="L306" i="10" s="1"/>
  <c r="L308" i="10" s="1"/>
  <c r="L307" i="10" s="1"/>
  <c r="L309" i="10" s="1"/>
  <c r="L311" i="10" s="1"/>
  <c r="L310" i="10" s="1"/>
  <c r="L312" i="10" s="1"/>
  <c r="L313" i="10" s="1"/>
  <c r="L314" i="10" s="1"/>
  <c r="L315" i="10" s="1"/>
  <c r="L316" i="10" s="1"/>
  <c r="L317" i="10" s="1"/>
  <c r="L318" i="10" s="1"/>
  <c r="L320" i="10" s="1"/>
  <c r="L319" i="10" s="1"/>
  <c r="L321" i="10" s="1"/>
  <c r="L322" i="10" s="1"/>
  <c r="L323" i="10" s="1"/>
  <c r="L324" i="10" s="1"/>
  <c r="L325" i="10" s="1"/>
  <c r="L326" i="10" s="1"/>
  <c r="L328" i="10" s="1"/>
  <c r="L327" i="10" s="1"/>
  <c r="E303" i="10"/>
  <c r="K302" i="10"/>
  <c r="K301" i="10"/>
  <c r="K300" i="10"/>
  <c r="K299" i="10"/>
  <c r="E299" i="10"/>
  <c r="K298" i="10"/>
  <c r="E297" i="10"/>
  <c r="K297" i="10" s="1"/>
  <c r="K296" i="10"/>
  <c r="K295" i="10"/>
  <c r="E295" i="10"/>
  <c r="K294" i="10"/>
  <c r="K293" i="10"/>
  <c r="K292" i="10"/>
  <c r="E291" i="10"/>
  <c r="K291" i="10" s="1"/>
  <c r="K290" i="10"/>
  <c r="K289" i="10"/>
  <c r="E289" i="10"/>
  <c r="K288" i="10"/>
  <c r="E287" i="10"/>
  <c r="K287" i="10" s="1"/>
  <c r="K286" i="10"/>
  <c r="K285" i="10"/>
  <c r="K284" i="10"/>
  <c r="K283" i="10"/>
  <c r="K282" i="10"/>
  <c r="K281" i="10"/>
  <c r="K280" i="10"/>
  <c r="K279" i="10"/>
  <c r="L278" i="10"/>
  <c r="L279" i="10" s="1"/>
  <c r="L280" i="10" s="1"/>
  <c r="L282" i="10" s="1"/>
  <c r="L281" i="10" s="1"/>
  <c r="L283" i="10" s="1"/>
  <c r="L285" i="10" s="1"/>
  <c r="L284" i="10" s="1"/>
  <c r="L286" i="10" s="1"/>
  <c r="L287" i="10" s="1"/>
  <c r="L288" i="10" s="1"/>
  <c r="L289" i="10" s="1"/>
  <c r="L290" i="10" s="1"/>
  <c r="L291" i="10" s="1"/>
  <c r="L292" i="10" s="1"/>
  <c r="L294" i="10" s="1"/>
  <c r="L293" i="10" s="1"/>
  <c r="L295" i="10" s="1"/>
  <c r="L296" i="10" s="1"/>
  <c r="L297" i="10" s="1"/>
  <c r="L298" i="10" s="1"/>
  <c r="L299" i="10" s="1"/>
  <c r="L300" i="10" s="1"/>
  <c r="L302" i="10" s="1"/>
  <c r="L301" i="10" s="1"/>
  <c r="K278" i="10"/>
  <c r="D278" i="10"/>
  <c r="D279" i="10" s="1"/>
  <c r="D280" i="10" s="1"/>
  <c r="K277" i="10"/>
  <c r="L277" i="10" s="1"/>
  <c r="E277" i="10"/>
  <c r="E276" i="10"/>
  <c r="K276" i="10" s="1"/>
  <c r="K275" i="10"/>
  <c r="K274" i="10"/>
  <c r="E274" i="10"/>
  <c r="K273" i="10"/>
  <c r="E273" i="10"/>
  <c r="K272" i="10"/>
  <c r="E271" i="10"/>
  <c r="K271" i="10" s="1"/>
  <c r="E270" i="10"/>
  <c r="K270" i="10" s="1"/>
  <c r="K269" i="10"/>
  <c r="K268" i="10"/>
  <c r="E268" i="10"/>
  <c r="K267" i="10"/>
  <c r="E267" i="10"/>
  <c r="K266" i="10"/>
  <c r="E265" i="10"/>
  <c r="K265" i="10" s="1"/>
  <c r="E264" i="10"/>
  <c r="K264" i="10" s="1"/>
  <c r="K263" i="10"/>
  <c r="K262" i="10"/>
  <c r="E262" i="10"/>
  <c r="K261" i="10"/>
  <c r="E261" i="10"/>
  <c r="K260" i="10"/>
  <c r="E259" i="10"/>
  <c r="K259" i="10" s="1"/>
  <c r="E258" i="10"/>
  <c r="K258" i="10" s="1"/>
  <c r="K257" i="10"/>
  <c r="K256" i="10"/>
  <c r="E256" i="10"/>
  <c r="K255" i="10"/>
  <c r="E255" i="10"/>
  <c r="K254" i="10"/>
  <c r="E253" i="10"/>
  <c r="K253" i="10" s="1"/>
  <c r="E252" i="10"/>
  <c r="K252" i="10" s="1"/>
  <c r="K251" i="10"/>
  <c r="K250" i="10"/>
  <c r="E250" i="10"/>
  <c r="K249" i="10"/>
  <c r="E249" i="10"/>
  <c r="K248" i="10"/>
  <c r="E247" i="10"/>
  <c r="K247" i="10" s="1"/>
  <c r="E246" i="10"/>
  <c r="K246" i="10" s="1"/>
  <c r="K245" i="10"/>
  <c r="K244" i="10"/>
  <c r="E244" i="10"/>
  <c r="K243" i="10"/>
  <c r="E243" i="10"/>
  <c r="K242" i="10"/>
  <c r="E241" i="10"/>
  <c r="K241" i="10" s="1"/>
  <c r="E240" i="10"/>
  <c r="K240" i="10" s="1"/>
  <c r="K239" i="10"/>
  <c r="K238" i="10"/>
  <c r="E238" i="10"/>
  <c r="K237" i="10"/>
  <c r="E237" i="10"/>
  <c r="K236" i="10"/>
  <c r="E235" i="10"/>
  <c r="K235" i="10" s="1"/>
  <c r="E234" i="10"/>
  <c r="K234" i="10" s="1"/>
  <c r="K233" i="10"/>
  <c r="K232" i="10"/>
  <c r="E232" i="10"/>
  <c r="K231" i="10"/>
  <c r="E231" i="10"/>
  <c r="K230" i="10"/>
  <c r="E229" i="10"/>
  <c r="K229" i="10" s="1"/>
  <c r="E228" i="10"/>
  <c r="K228" i="10" s="1"/>
  <c r="K227" i="10"/>
  <c r="K226" i="10"/>
  <c r="E226" i="10"/>
  <c r="D226" i="10"/>
  <c r="D227" i="10" s="1"/>
  <c r="D228" i="10" s="1"/>
  <c r="D229" i="10" s="1"/>
  <c r="D230" i="10" s="1"/>
  <c r="D231" i="10" s="1"/>
  <c r="D232" i="10" s="1"/>
  <c r="D233" i="10" s="1"/>
  <c r="D234" i="10" s="1"/>
  <c r="D235" i="10" s="1"/>
  <c r="D236" i="10" s="1"/>
  <c r="D237" i="10" s="1"/>
  <c r="D238" i="10" s="1"/>
  <c r="D239" i="10" s="1"/>
  <c r="D240" i="10" s="1"/>
  <c r="D241" i="10" s="1"/>
  <c r="D242" i="10" s="1"/>
  <c r="D243" i="10" s="1"/>
  <c r="D244" i="10" s="1"/>
  <c r="D245" i="10" s="1"/>
  <c r="D246" i="10" s="1"/>
  <c r="D247" i="10" s="1"/>
  <c r="D248" i="10" s="1"/>
  <c r="D249" i="10" s="1"/>
  <c r="D250" i="10" s="1"/>
  <c r="D251" i="10" s="1"/>
  <c r="D252" i="10" s="1"/>
  <c r="D253" i="10" s="1"/>
  <c r="D254" i="10" s="1"/>
  <c r="D255" i="10" s="1"/>
  <c r="D256" i="10" s="1"/>
  <c r="D257" i="10" s="1"/>
  <c r="D258" i="10" s="1"/>
  <c r="D259" i="10" s="1"/>
  <c r="D260" i="10" s="1"/>
  <c r="D261" i="10" s="1"/>
  <c r="D262" i="10" s="1"/>
  <c r="D263" i="10" s="1"/>
  <c r="D264" i="10" s="1"/>
  <c r="D265" i="10" s="1"/>
  <c r="D266" i="10" s="1"/>
  <c r="D267" i="10" s="1"/>
  <c r="D268" i="10" s="1"/>
  <c r="D269" i="10" s="1"/>
  <c r="D270" i="10" s="1"/>
  <c r="D271" i="10" s="1"/>
  <c r="D272" i="10" s="1"/>
  <c r="D273" i="10" s="1"/>
  <c r="D274" i="10" s="1"/>
  <c r="D275" i="10" s="1"/>
  <c r="D276" i="10" s="1"/>
  <c r="K225" i="10"/>
  <c r="E225" i="10"/>
  <c r="D225" i="10"/>
  <c r="K224" i="10"/>
  <c r="D224" i="10"/>
  <c r="E223" i="10"/>
  <c r="K223" i="10" s="1"/>
  <c r="L223" i="10" s="1"/>
  <c r="L224" i="10" s="1"/>
  <c r="L225" i="10" s="1"/>
  <c r="L226" i="10" s="1"/>
  <c r="L227" i="10" s="1"/>
  <c r="L228" i="10" s="1"/>
  <c r="L229" i="10" s="1"/>
  <c r="L230" i="10" s="1"/>
  <c r="L231" i="10" s="1"/>
  <c r="L232" i="10" s="1"/>
  <c r="L233" i="10" s="1"/>
  <c r="L234" i="10" s="1"/>
  <c r="L235" i="10" s="1"/>
  <c r="L236" i="10" s="1"/>
  <c r="L237" i="10" s="1"/>
  <c r="L238" i="10" s="1"/>
  <c r="L239" i="10" s="1"/>
  <c r="L240" i="10" s="1"/>
  <c r="L241" i="10" s="1"/>
  <c r="L242" i="10" s="1"/>
  <c r="L243" i="10" s="1"/>
  <c r="L244" i="10" s="1"/>
  <c r="L245" i="10" s="1"/>
  <c r="L246" i="10" s="1"/>
  <c r="L247" i="10" s="1"/>
  <c r="L248" i="10" s="1"/>
  <c r="L249" i="10" s="1"/>
  <c r="L250" i="10" s="1"/>
  <c r="L251" i="10" s="1"/>
  <c r="L252" i="10" s="1"/>
  <c r="L253" i="10" s="1"/>
  <c r="L254" i="10" s="1"/>
  <c r="L255" i="10" s="1"/>
  <c r="L256" i="10" s="1"/>
  <c r="L257" i="10" s="1"/>
  <c r="L258" i="10" s="1"/>
  <c r="L259" i="10" s="1"/>
  <c r="L260" i="10" s="1"/>
  <c r="L261" i="10" s="1"/>
  <c r="L262" i="10" s="1"/>
  <c r="L263" i="10" s="1"/>
  <c r="L264" i="10" s="1"/>
  <c r="L265" i="10" s="1"/>
  <c r="L266" i="10" s="1"/>
  <c r="L267" i="10" s="1"/>
  <c r="L268" i="10" s="1"/>
  <c r="L269" i="10" s="1"/>
  <c r="L270" i="10" s="1"/>
  <c r="L271" i="10" s="1"/>
  <c r="L272" i="10" s="1"/>
  <c r="L273" i="10" s="1"/>
  <c r="L274" i="10" s="1"/>
  <c r="L275" i="10" s="1"/>
  <c r="L276" i="10" s="1"/>
  <c r="K222" i="10"/>
  <c r="E221" i="10"/>
  <c r="K221" i="10" s="1"/>
  <c r="E220" i="10"/>
  <c r="K220" i="10" s="1"/>
  <c r="K219" i="10"/>
  <c r="K218" i="10"/>
  <c r="E218" i="10"/>
  <c r="K217" i="10"/>
  <c r="E217" i="10"/>
  <c r="K216" i="10"/>
  <c r="E215" i="10"/>
  <c r="K215" i="10" s="1"/>
  <c r="E214" i="10"/>
  <c r="K214" i="10" s="1"/>
  <c r="K213" i="10"/>
  <c r="K212" i="10"/>
  <c r="E212" i="10"/>
  <c r="K211" i="10"/>
  <c r="E211" i="10"/>
  <c r="K210" i="10"/>
  <c r="E209" i="10"/>
  <c r="K209" i="10" s="1"/>
  <c r="E208" i="10"/>
  <c r="K208" i="10" s="1"/>
  <c r="K207" i="10"/>
  <c r="K206" i="10"/>
  <c r="E206" i="10"/>
  <c r="K205" i="10"/>
  <c r="E205" i="10"/>
  <c r="K204" i="10"/>
  <c r="E203" i="10"/>
  <c r="K203" i="10" s="1"/>
  <c r="E202" i="10"/>
  <c r="K202" i="10" s="1"/>
  <c r="K201" i="10"/>
  <c r="K200" i="10"/>
  <c r="E200" i="10"/>
  <c r="K199" i="10"/>
  <c r="E199" i="10"/>
  <c r="K198" i="10"/>
  <c r="E197" i="10"/>
  <c r="K197" i="10" s="1"/>
  <c r="E196" i="10"/>
  <c r="K196" i="10" s="1"/>
  <c r="K195" i="10"/>
  <c r="K194" i="10"/>
  <c r="E194" i="10"/>
  <c r="K193" i="10"/>
  <c r="E193" i="10"/>
  <c r="D193" i="10"/>
  <c r="D194" i="10" s="1"/>
  <c r="D195" i="10" s="1"/>
  <c r="D196" i="10" s="1"/>
  <c r="D197" i="10" s="1"/>
  <c r="D198" i="10" s="1"/>
  <c r="D199" i="10" s="1"/>
  <c r="D200" i="10" s="1"/>
  <c r="D201" i="10" s="1"/>
  <c r="D202" i="10" s="1"/>
  <c r="D203" i="10" s="1"/>
  <c r="D204" i="10" s="1"/>
  <c r="D205" i="10" s="1"/>
  <c r="D206" i="10" s="1"/>
  <c r="D207" i="10" s="1"/>
  <c r="D208" i="10" s="1"/>
  <c r="D209" i="10" s="1"/>
  <c r="D210" i="10" s="1"/>
  <c r="D211" i="10" s="1"/>
  <c r="D212" i="10" s="1"/>
  <c r="D213" i="10" s="1"/>
  <c r="D214" i="10" s="1"/>
  <c r="D215" i="10" s="1"/>
  <c r="D216" i="10" s="1"/>
  <c r="D217" i="10" s="1"/>
  <c r="D218" i="10" s="1"/>
  <c r="D219" i="10" s="1"/>
  <c r="D220" i="10" s="1"/>
  <c r="D221" i="10" s="1"/>
  <c r="D222" i="10" s="1"/>
  <c r="K192" i="10"/>
  <c r="E191" i="10"/>
  <c r="K191" i="10" s="1"/>
  <c r="E190" i="10"/>
  <c r="K190" i="10" s="1"/>
  <c r="K189" i="10"/>
  <c r="K188" i="10"/>
  <c r="E188" i="10"/>
  <c r="K187" i="10"/>
  <c r="E187" i="10"/>
  <c r="K186" i="10"/>
  <c r="E185" i="10"/>
  <c r="K185" i="10" s="1"/>
  <c r="E184" i="10"/>
  <c r="K184" i="10" s="1"/>
  <c r="K183" i="10"/>
  <c r="D183" i="10"/>
  <c r="D184" i="10" s="1"/>
  <c r="D185" i="10" s="1"/>
  <c r="D186" i="10" s="1"/>
  <c r="D187" i="10" s="1"/>
  <c r="D188" i="10" s="1"/>
  <c r="D189" i="10" s="1"/>
  <c r="D190" i="10" s="1"/>
  <c r="D191" i="10" s="1"/>
  <c r="D192" i="10" s="1"/>
  <c r="K182" i="10"/>
  <c r="E182" i="10"/>
  <c r="L181" i="10"/>
  <c r="K181" i="10"/>
  <c r="E180" i="10"/>
  <c r="K180" i="10" s="1"/>
  <c r="L180" i="10" s="1"/>
  <c r="K179" i="10"/>
  <c r="K178" i="10"/>
  <c r="K177" i="10"/>
  <c r="K176" i="10"/>
  <c r="D176" i="10"/>
  <c r="D177" i="10" s="1"/>
  <c r="D178" i="10" s="1"/>
  <c r="D179" i="10" s="1"/>
  <c r="K175" i="10"/>
  <c r="K174" i="10"/>
  <c r="K173" i="10"/>
  <c r="K172" i="10"/>
  <c r="D172" i="10"/>
  <c r="D173" i="10" s="1"/>
  <c r="D174" i="10" s="1"/>
  <c r="D175" i="10" s="1"/>
  <c r="K171" i="10"/>
  <c r="K170" i="10"/>
  <c r="L170" i="10" s="1"/>
  <c r="L171" i="10" s="1"/>
  <c r="L172" i="10" s="1"/>
  <c r="L173" i="10" s="1"/>
  <c r="L174" i="10" s="1"/>
  <c r="L175" i="10" s="1"/>
  <c r="L176" i="10" s="1"/>
  <c r="L177" i="10" s="1"/>
  <c r="L178" i="10" s="1"/>
  <c r="L179" i="10" s="1"/>
  <c r="K169" i="10"/>
  <c r="K168" i="10"/>
  <c r="K167" i="10"/>
  <c r="K166" i="10"/>
  <c r="K165" i="10"/>
  <c r="K164" i="10"/>
  <c r="K163" i="10"/>
  <c r="K162" i="10"/>
  <c r="K161" i="10"/>
  <c r="K160" i="10"/>
  <c r="K159" i="10"/>
  <c r="K158" i="10"/>
  <c r="K157" i="10"/>
  <c r="L156" i="10"/>
  <c r="L157" i="10" s="1"/>
  <c r="L158" i="10" s="1"/>
  <c r="L159" i="10" s="1"/>
  <c r="L160" i="10" s="1"/>
  <c r="L161" i="10" s="1"/>
  <c r="L162" i="10" s="1"/>
  <c r="L163" i="10" s="1"/>
  <c r="L164" i="10" s="1"/>
  <c r="L165" i="10" s="1"/>
  <c r="L166" i="10" s="1"/>
  <c r="L167" i="10" s="1"/>
  <c r="L168" i="10" s="1"/>
  <c r="L169" i="10" s="1"/>
  <c r="K156" i="10"/>
  <c r="K155" i="10"/>
  <c r="K154" i="10"/>
  <c r="D154" i="10"/>
  <c r="D155" i="10" s="1"/>
  <c r="D156" i="10" s="1"/>
  <c r="D157" i="10" s="1"/>
  <c r="D158" i="10" s="1"/>
  <c r="D159" i="10" s="1"/>
  <c r="D160" i="10" s="1"/>
  <c r="D161" i="10" s="1"/>
  <c r="D162" i="10" s="1"/>
  <c r="D163" i="10" s="1"/>
  <c r="D164" i="10" s="1"/>
  <c r="D165" i="10" s="1"/>
  <c r="D166" i="10" s="1"/>
  <c r="D167" i="10" s="1"/>
  <c r="D168" i="10" s="1"/>
  <c r="D169" i="10" s="1"/>
  <c r="K153" i="10"/>
  <c r="K152" i="10"/>
  <c r="K151" i="10"/>
  <c r="L151" i="10" s="1"/>
  <c r="L152" i="10" s="1"/>
  <c r="L153" i="10" s="1"/>
  <c r="L154" i="10" s="1"/>
  <c r="L155" i="10" s="1"/>
  <c r="K150" i="10"/>
  <c r="K149" i="10"/>
  <c r="K148" i="10"/>
  <c r="K147" i="10"/>
  <c r="K146" i="10"/>
  <c r="K145" i="10"/>
  <c r="K144" i="10"/>
  <c r="E144" i="10"/>
  <c r="K143" i="10"/>
  <c r="E143" i="10"/>
  <c r="K142" i="10"/>
  <c r="E142" i="10"/>
  <c r="K141" i="10"/>
  <c r="K140" i="10"/>
  <c r="K139" i="10"/>
  <c r="K138" i="10"/>
  <c r="K137" i="10"/>
  <c r="K136" i="10"/>
  <c r="K135" i="10"/>
  <c r="K134" i="10"/>
  <c r="K133" i="10"/>
  <c r="E133" i="10"/>
  <c r="K132" i="10"/>
  <c r="E132" i="10"/>
  <c r="K131" i="10"/>
  <c r="E131" i="10"/>
  <c r="K130" i="10"/>
  <c r="K129" i="10"/>
  <c r="K128" i="10"/>
  <c r="K127" i="10"/>
  <c r="K126" i="10"/>
  <c r="K125" i="10"/>
  <c r="K124" i="10"/>
  <c r="K123" i="10"/>
  <c r="K122" i="10"/>
  <c r="E122" i="10"/>
  <c r="K121" i="10"/>
  <c r="E121" i="10"/>
  <c r="D121" i="10"/>
  <c r="D122" i="10" s="1"/>
  <c r="D123" i="10" s="1"/>
  <c r="D124" i="10" s="1"/>
  <c r="D125" i="10" s="1"/>
  <c r="D126" i="10" s="1"/>
  <c r="D127" i="10" s="1"/>
  <c r="D128" i="10" s="1"/>
  <c r="D129" i="10" s="1"/>
  <c r="D130" i="10" s="1"/>
  <c r="D131" i="10" s="1"/>
  <c r="D132" i="10" s="1"/>
  <c r="D133" i="10" s="1"/>
  <c r="D134" i="10" s="1"/>
  <c r="D135" i="10" s="1"/>
  <c r="D136" i="10" s="1"/>
  <c r="D137" i="10" s="1"/>
  <c r="D138" i="10" s="1"/>
  <c r="D139" i="10" s="1"/>
  <c r="D140" i="10" s="1"/>
  <c r="D141" i="10" s="1"/>
  <c r="D142" i="10" s="1"/>
  <c r="D143" i="10" s="1"/>
  <c r="D144" i="10" s="1"/>
  <c r="D145" i="10" s="1"/>
  <c r="D146" i="10" s="1"/>
  <c r="D147" i="10" s="1"/>
  <c r="D148" i="10" s="1"/>
  <c r="D149" i="10" s="1"/>
  <c r="D150" i="10" s="1"/>
  <c r="K120" i="10"/>
  <c r="L120" i="10" s="1"/>
  <c r="L121" i="10" s="1"/>
  <c r="K119" i="10"/>
  <c r="K118" i="10"/>
  <c r="K117" i="10"/>
  <c r="K116" i="10"/>
  <c r="K115" i="10"/>
  <c r="K114" i="10"/>
  <c r="K113" i="10"/>
  <c r="K112" i="10"/>
  <c r="K111" i="10"/>
  <c r="K110" i="10"/>
  <c r="K109" i="10"/>
  <c r="K108" i="10"/>
  <c r="K107" i="10"/>
  <c r="K106" i="10"/>
  <c r="K105" i="10"/>
  <c r="K104" i="10"/>
  <c r="K103" i="10"/>
  <c r="K102" i="10"/>
  <c r="K101" i="10"/>
  <c r="K100" i="10"/>
  <c r="K99" i="10"/>
  <c r="K98" i="10"/>
  <c r="K97" i="10"/>
  <c r="K96" i="10"/>
  <c r="K95" i="10"/>
  <c r="K94" i="10"/>
  <c r="K93" i="10"/>
  <c r="K92" i="10"/>
  <c r="K91" i="10"/>
  <c r="K90" i="10"/>
  <c r="K89" i="10"/>
  <c r="K88" i="10"/>
  <c r="K87" i="10"/>
  <c r="K86" i="10"/>
  <c r="K85" i="10"/>
  <c r="K84" i="10"/>
  <c r="K83" i="10"/>
  <c r="K82" i="10"/>
  <c r="K81" i="10"/>
  <c r="K80" i="10"/>
  <c r="K79" i="10"/>
  <c r="K78" i="10"/>
  <c r="D78" i="10"/>
  <c r="D79" i="10" s="1"/>
  <c r="D80" i="10" s="1"/>
  <c r="K77" i="10"/>
  <c r="K76" i="10"/>
  <c r="K75" i="10"/>
  <c r="K74" i="10"/>
  <c r="K73" i="10"/>
  <c r="K72" i="10"/>
  <c r="D72" i="10"/>
  <c r="D73" i="10" s="1"/>
  <c r="D74" i="10" s="1"/>
  <c r="D75" i="10" s="1"/>
  <c r="D76" i="10" s="1"/>
  <c r="D77" i="10" s="1"/>
  <c r="K71" i="10"/>
  <c r="K70" i="10"/>
  <c r="K69" i="10"/>
  <c r="L69" i="10" s="1"/>
  <c r="D69" i="10"/>
  <c r="L68" i="10"/>
  <c r="K68" i="10"/>
  <c r="K67" i="10"/>
  <c r="K66" i="10"/>
  <c r="K65" i="10"/>
  <c r="K64" i="10"/>
  <c r="K63" i="10"/>
  <c r="K62" i="10"/>
  <c r="K61" i="10"/>
  <c r="K60" i="10"/>
  <c r="K59" i="10"/>
  <c r="K58" i="10"/>
  <c r="K57" i="10"/>
  <c r="K56" i="10"/>
  <c r="K55" i="10"/>
  <c r="K54" i="10"/>
  <c r="K53" i="10"/>
  <c r="D53" i="10"/>
  <c r="D54" i="10" s="1"/>
  <c r="D55" i="10" s="1"/>
  <c r="D56" i="10" s="1"/>
  <c r="D57" i="10" s="1"/>
  <c r="D58" i="10" s="1"/>
  <c r="D59" i="10" s="1"/>
  <c r="D60" i="10" s="1"/>
  <c r="D61" i="10" s="1"/>
  <c r="D62" i="10" s="1"/>
  <c r="D63" i="10" s="1"/>
  <c r="D64" i="10" s="1"/>
  <c r="D65" i="10" s="1"/>
  <c r="D66" i="10" s="1"/>
  <c r="D67" i="10" s="1"/>
  <c r="K52" i="10"/>
  <c r="K51" i="10"/>
  <c r="K50" i="10"/>
  <c r="K49" i="10"/>
  <c r="K48" i="10"/>
  <c r="K47" i="10"/>
  <c r="D47" i="10"/>
  <c r="D48" i="10" s="1"/>
  <c r="D49" i="10" s="1"/>
  <c r="D50" i="10" s="1"/>
  <c r="D51" i="10" s="1"/>
  <c r="D52" i="10" s="1"/>
  <c r="K46" i="10"/>
  <c r="D46" i="10"/>
  <c r="K45" i="10"/>
  <c r="E44" i="10"/>
  <c r="K44" i="10" s="1"/>
  <c r="L44" i="10" s="1"/>
  <c r="L45" i="10" s="1"/>
  <c r="L46" i="10" s="1"/>
  <c r="L47" i="10" s="1"/>
  <c r="L48" i="10" s="1"/>
  <c r="L49" i="10" s="1"/>
  <c r="L50" i="10" s="1"/>
  <c r="L51" i="10" s="1"/>
  <c r="L52" i="10" s="1"/>
  <c r="L53" i="10" s="1"/>
  <c r="L54" i="10" s="1"/>
  <c r="L55" i="10" s="1"/>
  <c r="L56" i="10" s="1"/>
  <c r="L57" i="10" s="1"/>
  <c r="L58" i="10" s="1"/>
  <c r="L59" i="10" s="1"/>
  <c r="L60" i="10" s="1"/>
  <c r="L61" i="10" s="1"/>
  <c r="L62" i="10" s="1"/>
  <c r="L63" i="10" s="1"/>
  <c r="L64" i="10" s="1"/>
  <c r="L65" i="10" s="1"/>
  <c r="L66" i="10" s="1"/>
  <c r="L67" i="10" s="1"/>
  <c r="K43" i="10"/>
  <c r="L43" i="10" s="1"/>
  <c r="K42" i="10"/>
  <c r="E42" i="10"/>
  <c r="K41" i="10"/>
  <c r="E41" i="10"/>
  <c r="K40" i="10"/>
  <c r="E40" i="10"/>
  <c r="K39" i="10"/>
  <c r="E39" i="10"/>
  <c r="K38" i="10"/>
  <c r="E38" i="10"/>
  <c r="K37" i="10"/>
  <c r="E37" i="10"/>
  <c r="K36" i="10"/>
  <c r="E36" i="10"/>
  <c r="K35" i="10"/>
  <c r="E35" i="10"/>
  <c r="K34" i="10"/>
  <c r="E34" i="10"/>
  <c r="D34" i="10"/>
  <c r="D35" i="10" s="1"/>
  <c r="D36" i="10" s="1"/>
  <c r="D37" i="10" s="1"/>
  <c r="D38" i="10" s="1"/>
  <c r="D39" i="10" s="1"/>
  <c r="D40" i="10" s="1"/>
  <c r="D41" i="10" s="1"/>
  <c r="D42" i="10" s="1"/>
  <c r="K33" i="10"/>
  <c r="E33" i="10"/>
  <c r="K32" i="10"/>
  <c r="K31" i="10"/>
  <c r="D31" i="10"/>
  <c r="K30" i="10"/>
  <c r="L30" i="10" s="1"/>
  <c r="L31" i="10" s="1"/>
  <c r="L32" i="10" s="1"/>
  <c r="K29" i="10"/>
  <c r="K28" i="10"/>
  <c r="K27" i="10"/>
  <c r="K26" i="10"/>
  <c r="K25" i="10"/>
  <c r="K24" i="10"/>
  <c r="K23" i="10"/>
  <c r="K22" i="10"/>
  <c r="D22" i="10"/>
  <c r="D23" i="10" s="1"/>
  <c r="D24" i="10" s="1"/>
  <c r="D25" i="10" s="1"/>
  <c r="D26" i="10" s="1"/>
  <c r="D27" i="10" s="1"/>
  <c r="D28" i="10" s="1"/>
  <c r="D29" i="10" s="1"/>
  <c r="K21" i="10"/>
  <c r="K20" i="10"/>
  <c r="K19" i="10"/>
  <c r="D19" i="10"/>
  <c r="L18" i="10"/>
  <c r="K18" i="10"/>
  <c r="E17" i="10"/>
  <c r="K17" i="10" s="1"/>
  <c r="E16" i="10"/>
  <c r="K16" i="10" s="1"/>
  <c r="E15" i="10"/>
  <c r="K15" i="10" s="1"/>
  <c r="E14" i="10"/>
  <c r="K14" i="10" s="1"/>
  <c r="E13" i="10"/>
  <c r="K13" i="10" s="1"/>
  <c r="E12" i="10"/>
  <c r="K12" i="10" s="1"/>
  <c r="E11" i="10"/>
  <c r="K11" i="10" s="1"/>
  <c r="E10" i="10"/>
  <c r="K10" i="10" s="1"/>
  <c r="E9" i="10"/>
  <c r="K9" i="10" s="1"/>
  <c r="E8" i="10"/>
  <c r="K8" i="10" s="1"/>
  <c r="E7" i="10"/>
  <c r="K7" i="10" s="1"/>
  <c r="E6" i="10"/>
  <c r="K6" i="10" s="1"/>
  <c r="E5" i="10"/>
  <c r="K5" i="10" s="1"/>
  <c r="L4" i="10"/>
  <c r="L5" i="10" s="1"/>
  <c r="L6" i="10" s="1"/>
  <c r="L7" i="10" s="1"/>
  <c r="L8" i="10" s="1"/>
  <c r="L9" i="10" s="1"/>
  <c r="L10" i="10" s="1"/>
  <c r="L11" i="10" s="1"/>
  <c r="L12" i="10" s="1"/>
  <c r="L13" i="10" s="1"/>
  <c r="L14" i="10" s="1"/>
  <c r="L15" i="10" s="1"/>
  <c r="L16" i="10" s="1"/>
  <c r="L17" i="10" s="1"/>
  <c r="E4" i="10"/>
  <c r="K4" i="10" s="1"/>
  <c r="E3" i="10"/>
  <c r="K3" i="10" s="1"/>
  <c r="D3" i="10"/>
  <c r="D4" i="10" s="1"/>
  <c r="D5" i="10" s="1"/>
  <c r="D6" i="10" s="1"/>
  <c r="D7" i="10" s="1"/>
  <c r="D8" i="10" s="1"/>
  <c r="D9" i="10" s="1"/>
  <c r="D10" i="10" s="1"/>
  <c r="D11" i="10" s="1"/>
  <c r="D12" i="10" s="1"/>
  <c r="D13" i="10" s="1"/>
  <c r="D14" i="10" s="1"/>
  <c r="D15" i="10" s="1"/>
  <c r="D16" i="10" s="1"/>
  <c r="D17" i="10" s="1"/>
  <c r="L2" i="10"/>
  <c r="L3" i="10" s="1"/>
  <c r="K2" i="10"/>
  <c r="I38" i="9"/>
  <c r="I37" i="9"/>
  <c r="I36" i="9"/>
  <c r="I35" i="9"/>
  <c r="I34" i="9"/>
  <c r="I33" i="9"/>
  <c r="I32" i="9"/>
  <c r="I31" i="9"/>
  <c r="I30" i="9"/>
  <c r="I29" i="9"/>
  <c r="I28" i="9"/>
  <c r="I27" i="9"/>
  <c r="I26" i="9"/>
  <c r="I25" i="9"/>
  <c r="I24" i="9"/>
  <c r="I23" i="9"/>
  <c r="I22" i="9"/>
  <c r="I21" i="9"/>
  <c r="I20" i="9"/>
  <c r="I19" i="9"/>
  <c r="I18" i="9"/>
  <c r="I17" i="9"/>
  <c r="I16" i="9"/>
  <c r="I15" i="9"/>
  <c r="I14" i="9"/>
  <c r="I13" i="9"/>
  <c r="I12" i="9"/>
  <c r="I11" i="9"/>
  <c r="I10" i="9"/>
  <c r="I9" i="9"/>
  <c r="I8" i="9"/>
  <c r="I7" i="9"/>
  <c r="I6" i="9"/>
  <c r="I5" i="9"/>
  <c r="I4" i="9"/>
  <c r="I3" i="9"/>
  <c r="I2" i="9"/>
  <c r="U140" i="8"/>
  <c r="R140" i="8"/>
  <c r="U139" i="8"/>
  <c r="U138" i="8"/>
  <c r="U137" i="8"/>
  <c r="U136" i="8"/>
  <c r="L135" i="8"/>
  <c r="R135" i="8" s="1"/>
  <c r="T135" i="8" s="1"/>
  <c r="U135" i="8" s="1"/>
  <c r="T134" i="8"/>
  <c r="U134" i="8" s="1"/>
  <c r="R134" i="8"/>
  <c r="R133" i="8"/>
  <c r="T133" i="8" s="1"/>
  <c r="U133" i="8" s="1"/>
  <c r="T132" i="8"/>
  <c r="U132" i="8" s="1"/>
  <c r="R132" i="8"/>
  <c r="S131" i="8"/>
  <c r="T131" i="8" s="1"/>
  <c r="R131" i="8"/>
  <c r="T130" i="8"/>
  <c r="S130" i="8"/>
  <c r="U130" i="8" s="1"/>
  <c r="R130" i="8"/>
  <c r="K130" i="8"/>
  <c r="T129" i="8"/>
  <c r="R129" i="8"/>
  <c r="S129" i="8" s="1"/>
  <c r="U129" i="8" s="1"/>
  <c r="K129" i="8"/>
  <c r="U128" i="8"/>
  <c r="S128" i="8"/>
  <c r="T128" i="8" s="1"/>
  <c r="R128" i="8"/>
  <c r="R127" i="8"/>
  <c r="T127" i="8" s="1"/>
  <c r="K127" i="8"/>
  <c r="T126" i="8"/>
  <c r="U126" i="8" s="1"/>
  <c r="R126" i="8"/>
  <c r="R125" i="8"/>
  <c r="T125" i="8" s="1"/>
  <c r="K125" i="8"/>
  <c r="T124" i="8"/>
  <c r="R124" i="8"/>
  <c r="S124" i="8" s="1"/>
  <c r="U124" i="8" s="1"/>
  <c r="K124" i="8"/>
  <c r="T123" i="8"/>
  <c r="S123" i="8"/>
  <c r="U123" i="8" s="1"/>
  <c r="R123" i="8"/>
  <c r="K123" i="8"/>
  <c r="L122" i="8"/>
  <c r="R122" i="8" s="1"/>
  <c r="S122" i="8" s="1"/>
  <c r="U122" i="8" s="1"/>
  <c r="K122" i="8"/>
  <c r="T121" i="8"/>
  <c r="R121" i="8"/>
  <c r="S121" i="8" s="1"/>
  <c r="U121" i="8" s="1"/>
  <c r="K121" i="8"/>
  <c r="S120" i="8"/>
  <c r="U120" i="8" s="1"/>
  <c r="L120" i="8"/>
  <c r="R120" i="8" s="1"/>
  <c r="T120" i="8" s="1"/>
  <c r="K120" i="8"/>
  <c r="L119" i="8"/>
  <c r="R119" i="8" s="1"/>
  <c r="K119" i="8"/>
  <c r="S118" i="8"/>
  <c r="U118" i="8" s="1"/>
  <c r="L118" i="8"/>
  <c r="R118" i="8" s="1"/>
  <c r="T118" i="8" s="1"/>
  <c r="K118" i="8"/>
  <c r="S117" i="8"/>
  <c r="U117" i="8" s="1"/>
  <c r="L117" i="8"/>
  <c r="R117" i="8" s="1"/>
  <c r="T117" i="8" s="1"/>
  <c r="K117" i="8"/>
  <c r="L116" i="8"/>
  <c r="R116" i="8" s="1"/>
  <c r="T116" i="8" s="1"/>
  <c r="K116" i="8"/>
  <c r="R115" i="8"/>
  <c r="T115" i="8" s="1"/>
  <c r="K115" i="8"/>
  <c r="R114" i="8"/>
  <c r="S114" i="8" s="1"/>
  <c r="U114" i="8" s="1"/>
  <c r="L114" i="8"/>
  <c r="K114" i="8"/>
  <c r="T113" i="8"/>
  <c r="R113" i="8"/>
  <c r="S113" i="8" s="1"/>
  <c r="L113" i="8"/>
  <c r="K113" i="8"/>
  <c r="J113" i="8"/>
  <c r="S112" i="8"/>
  <c r="R112" i="8"/>
  <c r="T112" i="8" s="1"/>
  <c r="K112" i="8"/>
  <c r="T111" i="8"/>
  <c r="R111" i="8"/>
  <c r="S111" i="8" s="1"/>
  <c r="L111" i="8"/>
  <c r="K111" i="8"/>
  <c r="R110" i="8"/>
  <c r="S110" i="8" s="1"/>
  <c r="U110" i="8" s="1"/>
  <c r="L110" i="8"/>
  <c r="K110" i="8"/>
  <c r="T109" i="8"/>
  <c r="R109" i="8"/>
  <c r="S109" i="8" s="1"/>
  <c r="U109" i="8" s="1"/>
  <c r="K109" i="8"/>
  <c r="L108" i="8"/>
  <c r="R108" i="8" s="1"/>
  <c r="T107" i="8"/>
  <c r="R107" i="8"/>
  <c r="S107" i="8" s="1"/>
  <c r="U107" i="8" s="1"/>
  <c r="K107" i="8"/>
  <c r="R106" i="8"/>
  <c r="T106" i="8" s="1"/>
  <c r="L106" i="8"/>
  <c r="K106" i="8"/>
  <c r="T105" i="8"/>
  <c r="R105" i="8"/>
  <c r="S105" i="8" s="1"/>
  <c r="U105" i="8" s="1"/>
  <c r="K105" i="8"/>
  <c r="S104" i="8"/>
  <c r="U104" i="8" s="1"/>
  <c r="L104" i="8"/>
  <c r="R104" i="8" s="1"/>
  <c r="T104" i="8" s="1"/>
  <c r="K104" i="8"/>
  <c r="U103" i="8"/>
  <c r="T103" i="8"/>
  <c r="S103" i="8"/>
  <c r="K103" i="8"/>
  <c r="L102" i="8"/>
  <c r="R102" i="8" s="1"/>
  <c r="K102" i="8"/>
  <c r="J102" i="8"/>
  <c r="T101" i="8"/>
  <c r="S101" i="8"/>
  <c r="K101" i="8"/>
  <c r="R100" i="8"/>
  <c r="T100" i="8" s="1"/>
  <c r="K100" i="8"/>
  <c r="S99" i="8"/>
  <c r="U99" i="8" s="1"/>
  <c r="R99" i="8"/>
  <c r="T99" i="8" s="1"/>
  <c r="K99" i="8"/>
  <c r="T98" i="8"/>
  <c r="R98" i="8"/>
  <c r="S98" i="8" s="1"/>
  <c r="U98" i="8" s="1"/>
  <c r="K98" i="8"/>
  <c r="T97" i="8"/>
  <c r="R97" i="8"/>
  <c r="S97" i="8" s="1"/>
  <c r="U97" i="8" s="1"/>
  <c r="K97" i="8"/>
  <c r="R96" i="8"/>
  <c r="T96" i="8" s="1"/>
  <c r="L96" i="8"/>
  <c r="K96" i="8"/>
  <c r="T95" i="8"/>
  <c r="R95" i="8"/>
  <c r="S95" i="8" s="1"/>
  <c r="U95" i="8" s="1"/>
  <c r="K95" i="8"/>
  <c r="T94" i="8"/>
  <c r="R94" i="8"/>
  <c r="S94" i="8" s="1"/>
  <c r="U94" i="8" s="1"/>
  <c r="K94" i="8"/>
  <c r="R93" i="8"/>
  <c r="T93" i="8" s="1"/>
  <c r="K93" i="8"/>
  <c r="T92" i="8"/>
  <c r="S92" i="8"/>
  <c r="U92" i="8" s="1"/>
  <c r="R92" i="8"/>
  <c r="K92" i="8"/>
  <c r="T91" i="8"/>
  <c r="S91" i="8"/>
  <c r="U91" i="8" s="1"/>
  <c r="R91" i="8"/>
  <c r="K91" i="8"/>
  <c r="L90" i="8"/>
  <c r="R90" i="8" s="1"/>
  <c r="K90" i="8"/>
  <c r="T89" i="8"/>
  <c r="S89" i="8"/>
  <c r="U89" i="8" s="1"/>
  <c r="R89" i="8"/>
  <c r="K89" i="8"/>
  <c r="J89" i="8"/>
  <c r="L88" i="8"/>
  <c r="R88" i="8" s="1"/>
  <c r="K88" i="8"/>
  <c r="S87" i="8"/>
  <c r="U87" i="8" s="1"/>
  <c r="R87" i="8"/>
  <c r="T87" i="8" s="1"/>
  <c r="K87" i="8"/>
  <c r="T86" i="8"/>
  <c r="R86" i="8"/>
  <c r="S86" i="8" s="1"/>
  <c r="U86" i="8" s="1"/>
  <c r="K86" i="8"/>
  <c r="T85" i="8"/>
  <c r="R85" i="8"/>
  <c r="S85" i="8" s="1"/>
  <c r="U85" i="8" s="1"/>
  <c r="K85" i="8"/>
  <c r="R84" i="8"/>
  <c r="T84" i="8" s="1"/>
  <c r="L84" i="8"/>
  <c r="K84" i="8"/>
  <c r="T83" i="8"/>
  <c r="S83" i="8"/>
  <c r="K83" i="8"/>
  <c r="U83" i="8" s="1"/>
  <c r="T82" i="8"/>
  <c r="S82" i="8"/>
  <c r="U82" i="8" s="1"/>
  <c r="R82" i="8"/>
  <c r="T81" i="8"/>
  <c r="R81" i="8"/>
  <c r="S81" i="8" s="1"/>
  <c r="U81" i="8" s="1"/>
  <c r="L81" i="8"/>
  <c r="K81" i="8"/>
  <c r="R80" i="8"/>
  <c r="T80" i="8" s="1"/>
  <c r="L80" i="8"/>
  <c r="K80" i="8"/>
  <c r="L79" i="8"/>
  <c r="R79" i="8" s="1"/>
  <c r="K79" i="8"/>
  <c r="S78" i="8"/>
  <c r="U78" i="8" s="1"/>
  <c r="R78" i="8"/>
  <c r="T78" i="8" s="1"/>
  <c r="L78" i="8"/>
  <c r="K78" i="8"/>
  <c r="T77" i="8"/>
  <c r="R77" i="8"/>
  <c r="S77" i="8" s="1"/>
  <c r="U77" i="8" s="1"/>
  <c r="L77" i="8"/>
  <c r="K77" i="8"/>
  <c r="R76" i="8"/>
  <c r="T76" i="8" s="1"/>
  <c r="L76" i="8"/>
  <c r="K76" i="8"/>
  <c r="T75" i="8"/>
  <c r="S75" i="8"/>
  <c r="U75" i="8" s="1"/>
  <c r="R75" i="8"/>
  <c r="K75" i="8"/>
  <c r="U74" i="8"/>
  <c r="S74" i="8"/>
  <c r="R74" i="8"/>
  <c r="T74" i="8" s="1"/>
  <c r="L73" i="8"/>
  <c r="R73" i="8" s="1"/>
  <c r="K73" i="8"/>
  <c r="S72" i="8"/>
  <c r="U72" i="8" s="1"/>
  <c r="R72" i="8"/>
  <c r="T72" i="8" s="1"/>
  <c r="K72" i="8"/>
  <c r="T71" i="8"/>
  <c r="R71" i="8"/>
  <c r="S71" i="8" s="1"/>
  <c r="U71" i="8" s="1"/>
  <c r="K71" i="8"/>
  <c r="L70" i="8"/>
  <c r="R70" i="8" s="1"/>
  <c r="J70" i="8"/>
  <c r="K70" i="8" s="1"/>
  <c r="T69" i="8"/>
  <c r="S69" i="8"/>
  <c r="U69" i="8" s="1"/>
  <c r="R69" i="8"/>
  <c r="K69" i="8"/>
  <c r="S68" i="8"/>
  <c r="R68" i="8"/>
  <c r="T68" i="8" s="1"/>
  <c r="K68" i="8"/>
  <c r="U68" i="8" s="1"/>
  <c r="J68" i="8"/>
  <c r="L67" i="8"/>
  <c r="R67" i="8" s="1"/>
  <c r="K67" i="8"/>
  <c r="L66" i="8"/>
  <c r="R66" i="8" s="1"/>
  <c r="K66" i="8"/>
  <c r="S65" i="8"/>
  <c r="U65" i="8" s="1"/>
  <c r="R65" i="8"/>
  <c r="T65" i="8" s="1"/>
  <c r="K65" i="8"/>
  <c r="T64" i="8"/>
  <c r="R64" i="8"/>
  <c r="S64" i="8" s="1"/>
  <c r="U64" i="8" s="1"/>
  <c r="L64" i="8"/>
  <c r="K64" i="8"/>
  <c r="R63" i="8"/>
  <c r="T63" i="8" s="1"/>
  <c r="L63" i="8"/>
  <c r="K63" i="8"/>
  <c r="T62" i="8"/>
  <c r="S62" i="8"/>
  <c r="U62" i="8" s="1"/>
  <c r="R62" i="8"/>
  <c r="K62" i="8"/>
  <c r="L61" i="8"/>
  <c r="R61" i="8" s="1"/>
  <c r="K61" i="8"/>
  <c r="L60" i="8"/>
  <c r="R60" i="8" s="1"/>
  <c r="K60" i="8"/>
  <c r="T59" i="8"/>
  <c r="R59" i="8"/>
  <c r="S59" i="8" s="1"/>
  <c r="U59" i="8" s="1"/>
  <c r="K59" i="8"/>
  <c r="R58" i="8"/>
  <c r="T58" i="8" s="1"/>
  <c r="K58" i="8"/>
  <c r="T57" i="8"/>
  <c r="S57" i="8"/>
  <c r="U57" i="8" s="1"/>
  <c r="R57" i="8"/>
  <c r="K57" i="8"/>
  <c r="J57" i="8"/>
  <c r="T56" i="8"/>
  <c r="R56" i="8"/>
  <c r="S56" i="8" s="1"/>
  <c r="U56" i="8" s="1"/>
  <c r="K56" i="8"/>
  <c r="J56" i="8"/>
  <c r="S55" i="8"/>
  <c r="U55" i="8" s="1"/>
  <c r="R55" i="8"/>
  <c r="T55" i="8" s="1"/>
  <c r="L55" i="8"/>
  <c r="K55" i="8"/>
  <c r="U54" i="8"/>
  <c r="S54" i="8"/>
  <c r="R54" i="8"/>
  <c r="T54" i="8" s="1"/>
  <c r="T53" i="8"/>
  <c r="R53" i="8"/>
  <c r="S53" i="8" s="1"/>
  <c r="U53" i="8" s="1"/>
  <c r="K53" i="8"/>
  <c r="R52" i="8"/>
  <c r="T52" i="8" s="1"/>
  <c r="L52" i="8"/>
  <c r="K52" i="8"/>
  <c r="R51" i="8"/>
  <c r="S51" i="8" s="1"/>
  <c r="U51" i="8" s="1"/>
  <c r="K51" i="8"/>
  <c r="J51" i="8"/>
  <c r="T51" i="8" s="1"/>
  <c r="U50" i="8"/>
  <c r="S50" i="8"/>
  <c r="R50" i="8"/>
  <c r="T50" i="8" s="1"/>
  <c r="K50" i="8"/>
  <c r="S49" i="8"/>
  <c r="U49" i="8" s="1"/>
  <c r="R49" i="8"/>
  <c r="T49" i="8" s="1"/>
  <c r="L49" i="8"/>
  <c r="K49" i="8"/>
  <c r="R48" i="8"/>
  <c r="T48" i="8" s="1"/>
  <c r="U48" i="8" s="1"/>
  <c r="L48" i="8"/>
  <c r="T47" i="8"/>
  <c r="R47" i="8"/>
  <c r="S47" i="8" s="1"/>
  <c r="U47" i="8" s="1"/>
  <c r="K47" i="8"/>
  <c r="R46" i="8"/>
  <c r="T46" i="8" s="1"/>
  <c r="K46" i="8"/>
  <c r="J46" i="8"/>
  <c r="T45" i="8"/>
  <c r="R45" i="8"/>
  <c r="S45" i="8" s="1"/>
  <c r="U45" i="8" s="1"/>
  <c r="L45" i="8"/>
  <c r="K45" i="8"/>
  <c r="J45" i="8"/>
  <c r="T44" i="8"/>
  <c r="S44" i="8"/>
  <c r="U44" i="8" s="1"/>
  <c r="R44" i="8"/>
  <c r="K44" i="8"/>
  <c r="L43" i="8"/>
  <c r="R43" i="8" s="1"/>
  <c r="K43" i="8"/>
  <c r="R42" i="8"/>
  <c r="T42" i="8" s="1"/>
  <c r="K42" i="8"/>
  <c r="T41" i="8"/>
  <c r="S41" i="8"/>
  <c r="U41" i="8" s="1"/>
  <c r="R41" i="8"/>
  <c r="K41" i="8"/>
  <c r="J41" i="8"/>
  <c r="T40" i="8"/>
  <c r="R40" i="8"/>
  <c r="S40" i="8" s="1"/>
  <c r="U40" i="8" s="1"/>
  <c r="K40" i="8"/>
  <c r="J40" i="8"/>
  <c r="S39" i="8"/>
  <c r="U39" i="8" s="1"/>
  <c r="R39" i="8"/>
  <c r="T39" i="8" s="1"/>
  <c r="K39" i="8"/>
  <c r="T38" i="8"/>
  <c r="R38" i="8"/>
  <c r="S38" i="8" s="1"/>
  <c r="U38" i="8" s="1"/>
  <c r="K38" i="8"/>
  <c r="T37" i="8"/>
  <c r="R37" i="8"/>
  <c r="S37" i="8" s="1"/>
  <c r="U37" i="8" s="1"/>
  <c r="K37" i="8"/>
  <c r="S36" i="8"/>
  <c r="U36" i="8" s="1"/>
  <c r="R36" i="8"/>
  <c r="T36" i="8" s="1"/>
  <c r="T35" i="8"/>
  <c r="S35" i="8"/>
  <c r="K35" i="8"/>
  <c r="U35" i="8" s="1"/>
  <c r="L34" i="8"/>
  <c r="R34" i="8" s="1"/>
  <c r="T34" i="8" s="1"/>
  <c r="U34" i="8" s="1"/>
  <c r="R33" i="8"/>
  <c r="T33" i="8" s="1"/>
  <c r="J33" i="8"/>
  <c r="K33" i="8" s="1"/>
  <c r="L32" i="8"/>
  <c r="R32" i="8" s="1"/>
  <c r="K32" i="8"/>
  <c r="R31" i="8"/>
  <c r="T31" i="8" s="1"/>
  <c r="K31" i="8"/>
  <c r="L30" i="8"/>
  <c r="R30" i="8" s="1"/>
  <c r="K30" i="8"/>
  <c r="L29" i="8"/>
  <c r="R29" i="8" s="1"/>
  <c r="K29" i="8"/>
  <c r="J29" i="8"/>
  <c r="T28" i="8"/>
  <c r="S28" i="8"/>
  <c r="U28" i="8" s="1"/>
  <c r="R28" i="8"/>
  <c r="K28" i="8"/>
  <c r="T27" i="8"/>
  <c r="S27" i="8"/>
  <c r="R27" i="8"/>
  <c r="K27" i="8"/>
  <c r="U27" i="8" s="1"/>
  <c r="R26" i="8"/>
  <c r="T26" i="8" s="1"/>
  <c r="J26" i="8"/>
  <c r="K26" i="8" s="1"/>
  <c r="T25" i="8"/>
  <c r="S25" i="8"/>
  <c r="R25" i="8"/>
  <c r="K25" i="8"/>
  <c r="U25" i="8" s="1"/>
  <c r="L24" i="8"/>
  <c r="R24" i="8" s="1"/>
  <c r="K24" i="8"/>
  <c r="J24" i="8"/>
  <c r="T23" i="8"/>
  <c r="R23" i="8"/>
  <c r="S23" i="8" s="1"/>
  <c r="U23" i="8" s="1"/>
  <c r="L23" i="8"/>
  <c r="K23" i="8"/>
  <c r="R22" i="8"/>
  <c r="T22" i="8" s="1"/>
  <c r="U22" i="8" s="1"/>
  <c r="S21" i="8"/>
  <c r="R21" i="8"/>
  <c r="T21" i="8" s="1"/>
  <c r="K21" i="8"/>
  <c r="U21" i="8" s="1"/>
  <c r="R20" i="8"/>
  <c r="T20" i="8" s="1"/>
  <c r="M20" i="8"/>
  <c r="L20" i="8"/>
  <c r="K20" i="8"/>
  <c r="J20" i="8"/>
  <c r="L19" i="8"/>
  <c r="R19" i="8" s="1"/>
  <c r="T19" i="8" s="1"/>
  <c r="U19" i="8" s="1"/>
  <c r="R18" i="8"/>
  <c r="T18" i="8" s="1"/>
  <c r="L18" i="8"/>
  <c r="K18" i="8"/>
  <c r="J18" i="8"/>
  <c r="S17" i="8"/>
  <c r="R17" i="8"/>
  <c r="T17" i="8" s="1"/>
  <c r="K17" i="8"/>
  <c r="U17" i="8" s="1"/>
  <c r="R16" i="8"/>
  <c r="T16" i="8" s="1"/>
  <c r="L16" i="8"/>
  <c r="K16" i="8"/>
  <c r="T15" i="8"/>
  <c r="S15" i="8"/>
  <c r="U15" i="8" s="1"/>
  <c r="R15" i="8"/>
  <c r="K15" i="8"/>
  <c r="R14" i="8"/>
  <c r="T14" i="8" s="1"/>
  <c r="U14" i="8" s="1"/>
  <c r="L14" i="8"/>
  <c r="U13" i="8"/>
  <c r="T13" i="8"/>
  <c r="R13" i="8"/>
  <c r="J13" i="8"/>
  <c r="S12" i="8"/>
  <c r="R12" i="8"/>
  <c r="T12" i="8" s="1"/>
  <c r="K12" i="8"/>
  <c r="U12" i="8" s="1"/>
  <c r="R11" i="8"/>
  <c r="T11" i="8" s="1"/>
  <c r="J11" i="8"/>
  <c r="K11" i="8" s="1"/>
  <c r="L10" i="8"/>
  <c r="R10" i="8" s="1"/>
  <c r="K10" i="8"/>
  <c r="S9" i="8"/>
  <c r="U9" i="8" s="1"/>
  <c r="R9" i="8"/>
  <c r="T9" i="8" s="1"/>
  <c r="M9" i="8"/>
  <c r="M8" i="8"/>
  <c r="L8" i="8"/>
  <c r="R8" i="8" s="1"/>
  <c r="K8" i="8"/>
  <c r="R7" i="8"/>
  <c r="T7" i="8" s="1"/>
  <c r="K7" i="8"/>
  <c r="J7" i="8"/>
  <c r="T6" i="8"/>
  <c r="S6" i="8"/>
  <c r="U6" i="8" s="1"/>
  <c r="R6" i="8"/>
  <c r="K6" i="8"/>
  <c r="S5" i="8"/>
  <c r="R5" i="8"/>
  <c r="T5" i="8" s="1"/>
  <c r="K5" i="8"/>
  <c r="U5" i="8" s="1"/>
  <c r="R4" i="8"/>
  <c r="T4" i="8" s="1"/>
  <c r="L4" i="8"/>
  <c r="K4" i="8"/>
  <c r="T3" i="8"/>
  <c r="U3" i="8" s="1"/>
  <c r="R3" i="8"/>
  <c r="M3" i="8"/>
  <c r="T2" i="8"/>
  <c r="R2" i="8"/>
  <c r="S2" i="8" s="1"/>
  <c r="U2" i="8" s="1"/>
  <c r="L2" i="8"/>
  <c r="K2" i="8"/>
  <c r="X29" i="7"/>
  <c r="Y29" i="7" s="1"/>
  <c r="AA29" i="7" s="1"/>
  <c r="T29" i="7"/>
  <c r="N28" i="7"/>
  <c r="G28" i="7"/>
  <c r="Y28" i="7" s="1"/>
  <c r="AA28" i="7" s="1"/>
  <c r="G27" i="7"/>
  <c r="Y27" i="7" s="1"/>
  <c r="AA27" i="7" s="1"/>
  <c r="G26" i="7"/>
  <c r="Y26" i="7" s="1"/>
  <c r="AA26" i="7" s="1"/>
  <c r="Y25" i="7"/>
  <c r="AA25" i="7" s="1"/>
  <c r="N25" i="7"/>
  <c r="T24" i="7"/>
  <c r="Y24" i="7" s="1"/>
  <c r="AA24" i="7" s="1"/>
  <c r="Y23" i="7"/>
  <c r="AA23" i="7" s="1"/>
  <c r="Y22" i="7"/>
  <c r="AA22" i="7" s="1"/>
  <c r="T22" i="7"/>
  <c r="N22" i="7"/>
  <c r="H22" i="7"/>
  <c r="G22" i="7"/>
  <c r="X21" i="7"/>
  <c r="S21" i="7"/>
  <c r="Y21" i="7" s="1"/>
  <c r="AA21" i="7" s="1"/>
  <c r="M21" i="7"/>
  <c r="G21" i="7"/>
  <c r="Y20" i="7"/>
  <c r="AA20" i="7" s="1"/>
  <c r="X20" i="7"/>
  <c r="G20" i="7"/>
  <c r="Y19" i="7"/>
  <c r="AA19" i="7" s="1"/>
  <c r="X19" i="7"/>
  <c r="G19" i="7"/>
  <c r="Y18" i="7"/>
  <c r="AA18" i="7" s="1"/>
  <c r="G18" i="7"/>
  <c r="X17" i="7"/>
  <c r="Y17" i="7" s="1"/>
  <c r="AA17" i="7" s="1"/>
  <c r="T17" i="7"/>
  <c r="M17" i="7"/>
  <c r="Y16" i="7"/>
  <c r="AA16" i="7" s="1"/>
  <c r="X16" i="7"/>
  <c r="X15" i="7"/>
  <c r="Y15" i="7" s="1"/>
  <c r="AA15" i="7" s="1"/>
  <c r="H15" i="7"/>
  <c r="G15" i="7"/>
  <c r="Y14" i="7"/>
  <c r="AA14" i="7" s="1"/>
  <c r="X14" i="7"/>
  <c r="M14" i="7"/>
  <c r="Y13" i="7"/>
  <c r="AA13" i="7" s="1"/>
  <c r="X13" i="7"/>
  <c r="M13" i="7"/>
  <c r="Y12" i="7"/>
  <c r="AA12" i="7" s="1"/>
  <c r="X12" i="7"/>
  <c r="M12" i="7"/>
  <c r="Y11" i="7"/>
  <c r="AA11" i="7" s="1"/>
  <c r="X11" i="7"/>
  <c r="X10" i="7"/>
  <c r="Y10" i="7" s="1"/>
  <c r="AA10" i="7" s="1"/>
  <c r="M9" i="7"/>
  <c r="G9" i="7"/>
  <c r="Y9" i="7" s="1"/>
  <c r="AA9" i="7" s="1"/>
  <c r="X8" i="7"/>
  <c r="Y8" i="7" s="1"/>
  <c r="AA8" i="7" s="1"/>
  <c r="AA7" i="7"/>
  <c r="Y7" i="7"/>
  <c r="T6" i="7"/>
  <c r="Y6" i="7" s="1"/>
  <c r="AA6" i="7" s="1"/>
  <c r="X5" i="7"/>
  <c r="Y5" i="7" s="1"/>
  <c r="AA5" i="7" s="1"/>
  <c r="AA4" i="7"/>
  <c r="Y4" i="7"/>
  <c r="M3" i="7"/>
  <c r="Y3" i="7" s="1"/>
  <c r="AA3" i="7" s="1"/>
  <c r="J67" i="6"/>
  <c r="H67" i="6"/>
  <c r="I67" i="6" s="1"/>
  <c r="J66" i="6"/>
  <c r="H66" i="6"/>
  <c r="I66" i="6" s="1"/>
  <c r="J65" i="6"/>
  <c r="I65" i="6"/>
  <c r="H65" i="6"/>
  <c r="J64" i="6"/>
  <c r="H64" i="6"/>
  <c r="I64" i="6" s="1"/>
  <c r="J63" i="6"/>
  <c r="I63" i="6"/>
  <c r="H63" i="6"/>
  <c r="J62" i="6"/>
  <c r="I62" i="6"/>
  <c r="H62" i="6"/>
  <c r="J61" i="6"/>
  <c r="I61" i="6"/>
  <c r="H61" i="6"/>
  <c r="J60" i="6"/>
  <c r="H60" i="6"/>
  <c r="I60" i="6" s="1"/>
  <c r="J59" i="6"/>
  <c r="H59" i="6"/>
  <c r="I59" i="6" s="1"/>
  <c r="J58" i="6"/>
  <c r="H58" i="6"/>
  <c r="I58" i="6" s="1"/>
  <c r="J57" i="6"/>
  <c r="I57" i="6"/>
  <c r="H57" i="6"/>
  <c r="J56" i="6"/>
  <c r="H56" i="6"/>
  <c r="I56" i="6" s="1"/>
  <c r="J55" i="6"/>
  <c r="I55" i="6"/>
  <c r="H55" i="6"/>
  <c r="J54" i="6"/>
  <c r="I54" i="6"/>
  <c r="H54" i="6"/>
  <c r="J53" i="6"/>
  <c r="I53" i="6"/>
  <c r="H53" i="6"/>
  <c r="J52" i="6"/>
  <c r="H52" i="6"/>
  <c r="I52" i="6" s="1"/>
  <c r="J51" i="6"/>
  <c r="H51" i="6"/>
  <c r="I51" i="6" s="1"/>
  <c r="J50" i="6"/>
  <c r="H50" i="6"/>
  <c r="I50" i="6" s="1"/>
  <c r="J49" i="6"/>
  <c r="I49" i="6"/>
  <c r="H49" i="6"/>
  <c r="J48" i="6"/>
  <c r="H48" i="6"/>
  <c r="I48" i="6" s="1"/>
  <c r="J47" i="6"/>
  <c r="I47" i="6"/>
  <c r="H47" i="6"/>
  <c r="J46" i="6"/>
  <c r="I46" i="6"/>
  <c r="H46" i="6"/>
  <c r="J45" i="6"/>
  <c r="I45" i="6"/>
  <c r="H45" i="6"/>
  <c r="J44" i="6"/>
  <c r="H44" i="6"/>
  <c r="I44" i="6" s="1"/>
  <c r="G44" i="6"/>
  <c r="E44" i="6"/>
  <c r="G43" i="6"/>
  <c r="J43" i="6" s="1"/>
  <c r="E43" i="6"/>
  <c r="J42" i="6"/>
  <c r="I42" i="6"/>
  <c r="H42" i="6"/>
  <c r="E42" i="6"/>
  <c r="H41" i="6"/>
  <c r="I41" i="6" s="1"/>
  <c r="G41" i="6"/>
  <c r="E41" i="6"/>
  <c r="J41" i="6" s="1"/>
  <c r="G40" i="6"/>
  <c r="J40" i="6" s="1"/>
  <c r="E40" i="6"/>
  <c r="J39" i="6"/>
  <c r="H39" i="6"/>
  <c r="I39" i="6" s="1"/>
  <c r="G39" i="6"/>
  <c r="E39" i="6"/>
  <c r="G38" i="6"/>
  <c r="J38" i="6" s="1"/>
  <c r="E38" i="6"/>
  <c r="J37" i="6"/>
  <c r="I37" i="6"/>
  <c r="H37" i="6"/>
  <c r="G36" i="6"/>
  <c r="J36" i="6" s="1"/>
  <c r="E36" i="6"/>
  <c r="J35" i="6"/>
  <c r="H35" i="6"/>
  <c r="G35" i="6"/>
  <c r="E35" i="6"/>
  <c r="I35" i="6" s="1"/>
  <c r="G34" i="6"/>
  <c r="J34" i="6" s="1"/>
  <c r="E34" i="6"/>
  <c r="H33" i="6"/>
  <c r="I33" i="6" s="1"/>
  <c r="G33" i="6"/>
  <c r="E33" i="6"/>
  <c r="J33" i="6" s="1"/>
  <c r="I32" i="6"/>
  <c r="H32" i="6"/>
  <c r="G32" i="6"/>
  <c r="J32" i="6" s="1"/>
  <c r="E32" i="6"/>
  <c r="H31" i="6"/>
  <c r="I31" i="6" s="1"/>
  <c r="G31" i="6"/>
  <c r="E31" i="6"/>
  <c r="J31" i="6" s="1"/>
  <c r="G30" i="6"/>
  <c r="J30" i="6" s="1"/>
  <c r="J29" i="6"/>
  <c r="I29" i="6"/>
  <c r="H29" i="6"/>
  <c r="J28" i="6"/>
  <c r="H28" i="6"/>
  <c r="G28" i="6"/>
  <c r="E28" i="6"/>
  <c r="I28" i="6" s="1"/>
  <c r="G27" i="6"/>
  <c r="J27" i="6" s="1"/>
  <c r="E27" i="6"/>
  <c r="H26" i="6"/>
  <c r="I26" i="6" s="1"/>
  <c r="G26" i="6"/>
  <c r="J26" i="6" s="1"/>
  <c r="E26" i="6"/>
  <c r="I25" i="6"/>
  <c r="H25" i="6"/>
  <c r="G25" i="6"/>
  <c r="J25" i="6" s="1"/>
  <c r="E25" i="6"/>
  <c r="H24" i="6"/>
  <c r="I24" i="6" s="1"/>
  <c r="G24" i="6"/>
  <c r="E24" i="6"/>
  <c r="J24" i="6" s="1"/>
  <c r="G23" i="6"/>
  <c r="J23" i="6" s="1"/>
  <c r="E23" i="6"/>
  <c r="J22" i="6"/>
  <c r="H22" i="6"/>
  <c r="I22" i="6" s="1"/>
  <c r="G22" i="6"/>
  <c r="E22" i="6"/>
  <c r="G21" i="6"/>
  <c r="J21" i="6" s="1"/>
  <c r="E21" i="6"/>
  <c r="J20" i="6"/>
  <c r="H20" i="6"/>
  <c r="G20" i="6"/>
  <c r="E20" i="6"/>
  <c r="I20" i="6" s="1"/>
  <c r="G19" i="6"/>
  <c r="J19" i="6" s="1"/>
  <c r="G18" i="6"/>
  <c r="J18" i="6" s="1"/>
  <c r="E18" i="6"/>
  <c r="J17" i="6"/>
  <c r="H17" i="6"/>
  <c r="I17" i="6" s="1"/>
  <c r="G17" i="6"/>
  <c r="E17" i="6"/>
  <c r="G16" i="6"/>
  <c r="J16" i="6" s="1"/>
  <c r="E16" i="6"/>
  <c r="J15" i="6"/>
  <c r="H15" i="6"/>
  <c r="G15" i="6"/>
  <c r="E15" i="6"/>
  <c r="I15" i="6" s="1"/>
  <c r="G14" i="6"/>
  <c r="J14" i="6" s="1"/>
  <c r="E14" i="6"/>
  <c r="H13" i="6"/>
  <c r="I13" i="6" s="1"/>
  <c r="G13" i="6"/>
  <c r="E13" i="6"/>
  <c r="J13" i="6" s="1"/>
  <c r="I12" i="6"/>
  <c r="H12" i="6"/>
  <c r="G12" i="6"/>
  <c r="J12" i="6" s="1"/>
  <c r="E12" i="6"/>
  <c r="H11" i="6"/>
  <c r="I11" i="6" s="1"/>
  <c r="G11" i="6"/>
  <c r="E11" i="6"/>
  <c r="J11" i="6" s="1"/>
  <c r="G10" i="6"/>
  <c r="J10" i="6" s="1"/>
  <c r="E10" i="6"/>
  <c r="J9" i="6"/>
  <c r="H9" i="6"/>
  <c r="I9" i="6" s="1"/>
  <c r="G9" i="6"/>
  <c r="E9" i="6"/>
  <c r="G8" i="6"/>
  <c r="J8" i="6" s="1"/>
  <c r="I7" i="6"/>
  <c r="H7" i="6"/>
  <c r="G7" i="6"/>
  <c r="J7" i="6" s="1"/>
  <c r="E7" i="6"/>
  <c r="H6" i="6"/>
  <c r="I6" i="6" s="1"/>
  <c r="G6" i="6"/>
  <c r="E6" i="6"/>
  <c r="J6" i="6" s="1"/>
  <c r="G5" i="6"/>
  <c r="J5" i="6" s="1"/>
  <c r="E5" i="6"/>
  <c r="J4" i="6"/>
  <c r="H4" i="6"/>
  <c r="I4" i="6" s="1"/>
  <c r="G4" i="6"/>
  <c r="E4" i="6"/>
  <c r="G3" i="6"/>
  <c r="J3" i="6" s="1"/>
  <c r="E3" i="6"/>
  <c r="J2" i="6"/>
  <c r="I2" i="6"/>
  <c r="H2" i="6"/>
  <c r="G2" i="6"/>
  <c r="H121" i="5"/>
  <c r="I121" i="5" s="1"/>
  <c r="G121" i="5"/>
  <c r="E121" i="5"/>
  <c r="J121" i="5" s="1"/>
  <c r="G120" i="5"/>
  <c r="J120" i="5" s="1"/>
  <c r="E120" i="5"/>
  <c r="J119" i="5"/>
  <c r="H119" i="5"/>
  <c r="I119" i="5" s="1"/>
  <c r="H118" i="5"/>
  <c r="E118" i="5"/>
  <c r="J118" i="5" s="1"/>
  <c r="G117" i="5"/>
  <c r="J117" i="5" s="1"/>
  <c r="H116" i="5"/>
  <c r="E116" i="5"/>
  <c r="J116" i="5" s="1"/>
  <c r="G115" i="5"/>
  <c r="J115" i="5" s="1"/>
  <c r="G114" i="5"/>
  <c r="J114" i="5" s="1"/>
  <c r="E114" i="5"/>
  <c r="J113" i="5"/>
  <c r="H113" i="5"/>
  <c r="I113" i="5" s="1"/>
  <c r="E113" i="5"/>
  <c r="J112" i="5"/>
  <c r="H112" i="5"/>
  <c r="I112" i="5" s="1"/>
  <c r="G111" i="5"/>
  <c r="J111" i="5" s="1"/>
  <c r="E111" i="5"/>
  <c r="H110" i="5"/>
  <c r="I110" i="5" s="1"/>
  <c r="G110" i="5"/>
  <c r="E110" i="5"/>
  <c r="J110" i="5" s="1"/>
  <c r="I109" i="5"/>
  <c r="H109" i="5"/>
  <c r="G109" i="5"/>
  <c r="J109" i="5" s="1"/>
  <c r="E109" i="5"/>
  <c r="J108" i="5"/>
  <c r="H108" i="5"/>
  <c r="I108" i="5" s="1"/>
  <c r="G108" i="5"/>
  <c r="J107" i="5"/>
  <c r="I107" i="5"/>
  <c r="H107" i="5"/>
  <c r="G107" i="5"/>
  <c r="H106" i="5"/>
  <c r="I106" i="5" s="1"/>
  <c r="G106" i="5"/>
  <c r="F106" i="5"/>
  <c r="J106" i="5" s="1"/>
  <c r="E106" i="5"/>
  <c r="H105" i="5"/>
  <c r="I105" i="5" s="1"/>
  <c r="G105" i="5"/>
  <c r="E105" i="5"/>
  <c r="J105" i="5" s="1"/>
  <c r="I104" i="5"/>
  <c r="H104" i="5"/>
  <c r="G104" i="5"/>
  <c r="J104" i="5" s="1"/>
  <c r="G103" i="5"/>
  <c r="J103" i="5" s="1"/>
  <c r="E103" i="5"/>
  <c r="J102" i="5"/>
  <c r="H102" i="5"/>
  <c r="G102" i="5"/>
  <c r="E102" i="5"/>
  <c r="I102" i="5" s="1"/>
  <c r="G101" i="5"/>
  <c r="J101" i="5" s="1"/>
  <c r="E101" i="5"/>
  <c r="H100" i="5"/>
  <c r="I100" i="5" s="1"/>
  <c r="G100" i="5"/>
  <c r="E100" i="5"/>
  <c r="J100" i="5" s="1"/>
  <c r="I99" i="5"/>
  <c r="H99" i="5"/>
  <c r="G99" i="5"/>
  <c r="J99" i="5" s="1"/>
  <c r="G98" i="5"/>
  <c r="J98" i="5" s="1"/>
  <c r="I97" i="5"/>
  <c r="H97" i="5"/>
  <c r="G97" i="5"/>
  <c r="J97" i="5" s="1"/>
  <c r="G96" i="5"/>
  <c r="J96" i="5" s="1"/>
  <c r="I95" i="5"/>
  <c r="H95" i="5"/>
  <c r="G95" i="5"/>
  <c r="J95" i="5" s="1"/>
  <c r="G94" i="5"/>
  <c r="J94" i="5" s="1"/>
  <c r="I93" i="5"/>
  <c r="H93" i="5"/>
  <c r="G93" i="5"/>
  <c r="J93" i="5" s="1"/>
  <c r="G92" i="5"/>
  <c r="J92" i="5" s="1"/>
  <c r="I91" i="5"/>
  <c r="H91" i="5"/>
  <c r="G91" i="5"/>
  <c r="J91" i="5" s="1"/>
  <c r="G90" i="5"/>
  <c r="J90" i="5" s="1"/>
  <c r="J89" i="5"/>
  <c r="I89" i="5"/>
  <c r="H89" i="5"/>
  <c r="J88" i="5"/>
  <c r="H88" i="5"/>
  <c r="I88" i="5" s="1"/>
  <c r="G88" i="5"/>
  <c r="J87" i="5"/>
  <c r="H87" i="5"/>
  <c r="I87" i="5" s="1"/>
  <c r="G87" i="5"/>
  <c r="H86" i="5"/>
  <c r="I86" i="5" s="1"/>
  <c r="G86" i="5"/>
  <c r="E86" i="5"/>
  <c r="J86" i="5" s="1"/>
  <c r="J85" i="5"/>
  <c r="I85" i="5"/>
  <c r="H85" i="5"/>
  <c r="H84" i="5"/>
  <c r="I84" i="5" s="1"/>
  <c r="G84" i="5"/>
  <c r="E84" i="5"/>
  <c r="J84" i="5" s="1"/>
  <c r="I83" i="5"/>
  <c r="H83" i="5"/>
  <c r="G83" i="5"/>
  <c r="J83" i="5" s="1"/>
  <c r="J82" i="5"/>
  <c r="I82" i="5"/>
  <c r="H82" i="5"/>
  <c r="J81" i="5"/>
  <c r="H81" i="5"/>
  <c r="I81" i="5" s="1"/>
  <c r="G80" i="5"/>
  <c r="J80" i="5" s="1"/>
  <c r="G79" i="5"/>
  <c r="J79" i="5" s="1"/>
  <c r="G78" i="5"/>
  <c r="J78" i="5" s="1"/>
  <c r="G77" i="5"/>
  <c r="J77" i="5" s="1"/>
  <c r="E77" i="5"/>
  <c r="H76" i="5"/>
  <c r="I76" i="5" s="1"/>
  <c r="G76" i="5"/>
  <c r="E76" i="5"/>
  <c r="J76" i="5" s="1"/>
  <c r="I75" i="5"/>
  <c r="H75" i="5"/>
  <c r="G75" i="5"/>
  <c r="J75" i="5" s="1"/>
  <c r="G74" i="5"/>
  <c r="J74" i="5" s="1"/>
  <c r="E74" i="5"/>
  <c r="J73" i="5"/>
  <c r="H73" i="5"/>
  <c r="G73" i="5"/>
  <c r="E73" i="5"/>
  <c r="I73" i="5" s="1"/>
  <c r="G72" i="5"/>
  <c r="J72" i="5" s="1"/>
  <c r="E72" i="5"/>
  <c r="H71" i="5"/>
  <c r="I71" i="5" s="1"/>
  <c r="G71" i="5"/>
  <c r="E71" i="5"/>
  <c r="J71" i="5" s="1"/>
  <c r="I70" i="5"/>
  <c r="H70" i="5"/>
  <c r="G70" i="5"/>
  <c r="J70" i="5" s="1"/>
  <c r="E70" i="5"/>
  <c r="H69" i="5"/>
  <c r="I69" i="5" s="1"/>
  <c r="G69" i="5"/>
  <c r="E69" i="5"/>
  <c r="J69" i="5" s="1"/>
  <c r="G68" i="5"/>
  <c r="J68" i="5" s="1"/>
  <c r="G67" i="5"/>
  <c r="J67" i="5" s="1"/>
  <c r="E67" i="5"/>
  <c r="H66" i="5"/>
  <c r="I66" i="5" s="1"/>
  <c r="G66" i="5"/>
  <c r="E66" i="5"/>
  <c r="J66" i="5" s="1"/>
  <c r="J65" i="5"/>
  <c r="I65" i="5"/>
  <c r="H65" i="5"/>
  <c r="H64" i="5"/>
  <c r="I64" i="5" s="1"/>
  <c r="G64" i="5"/>
  <c r="E64" i="5"/>
  <c r="J64" i="5" s="1"/>
  <c r="I63" i="5"/>
  <c r="H63" i="5"/>
  <c r="G63" i="5"/>
  <c r="J63" i="5" s="1"/>
  <c r="E63" i="5"/>
  <c r="H62" i="5"/>
  <c r="I62" i="5" s="1"/>
  <c r="G62" i="5"/>
  <c r="E62" i="5"/>
  <c r="J62" i="5" s="1"/>
  <c r="G61" i="5"/>
  <c r="J61" i="5" s="1"/>
  <c r="E61" i="5"/>
  <c r="J60" i="5"/>
  <c r="H60" i="5"/>
  <c r="I60" i="5" s="1"/>
  <c r="G60" i="5"/>
  <c r="E60" i="5"/>
  <c r="I59" i="5"/>
  <c r="H59" i="5"/>
  <c r="E59" i="5"/>
  <c r="J59" i="5" s="1"/>
  <c r="I58" i="5"/>
  <c r="H58" i="5"/>
  <c r="G58" i="5"/>
  <c r="J58" i="5" s="1"/>
  <c r="E58" i="5"/>
  <c r="J57" i="5"/>
  <c r="H57" i="5"/>
  <c r="I57" i="5" s="1"/>
  <c r="G57" i="5"/>
  <c r="J56" i="5"/>
  <c r="H56" i="5"/>
  <c r="G56" i="5"/>
  <c r="E56" i="5"/>
  <c r="I56" i="5" s="1"/>
  <c r="G55" i="5"/>
  <c r="J55" i="5" s="1"/>
  <c r="E55" i="5"/>
  <c r="J54" i="5"/>
  <c r="H54" i="5"/>
  <c r="I54" i="5" s="1"/>
  <c r="G53" i="5"/>
  <c r="J53" i="5" s="1"/>
  <c r="E53" i="5"/>
  <c r="J52" i="5"/>
  <c r="H52" i="5"/>
  <c r="I52" i="5" s="1"/>
  <c r="J51" i="5"/>
  <c r="I51" i="5"/>
  <c r="H51" i="5"/>
  <c r="J50" i="5"/>
  <c r="I50" i="5"/>
  <c r="H50" i="5"/>
  <c r="G50" i="5"/>
  <c r="H49" i="5"/>
  <c r="I49" i="5" s="1"/>
  <c r="G49" i="5"/>
  <c r="E49" i="5"/>
  <c r="J49" i="5" s="1"/>
  <c r="J48" i="5"/>
  <c r="I48" i="5"/>
  <c r="H48" i="5"/>
  <c r="J47" i="5"/>
  <c r="H47" i="5"/>
  <c r="I47" i="5" s="1"/>
  <c r="G47" i="5"/>
  <c r="J46" i="5"/>
  <c r="H46" i="5"/>
  <c r="G46" i="5"/>
  <c r="E46" i="5"/>
  <c r="I46" i="5" s="1"/>
  <c r="G45" i="5"/>
  <c r="J45" i="5" s="1"/>
  <c r="G44" i="5"/>
  <c r="J44" i="5" s="1"/>
  <c r="G43" i="5"/>
  <c r="J43" i="5" s="1"/>
  <c r="G42" i="5"/>
  <c r="J42" i="5" s="1"/>
  <c r="E42" i="5"/>
  <c r="J41" i="5"/>
  <c r="H41" i="5"/>
  <c r="I41" i="5" s="1"/>
  <c r="E41" i="5"/>
  <c r="J40" i="5"/>
  <c r="H40" i="5"/>
  <c r="I40" i="5" s="1"/>
  <c r="G39" i="5"/>
  <c r="J39" i="5" s="1"/>
  <c r="E39" i="5"/>
  <c r="H38" i="5"/>
  <c r="I38" i="5" s="1"/>
  <c r="G38" i="5"/>
  <c r="E38" i="5"/>
  <c r="J38" i="5" s="1"/>
  <c r="J37" i="5"/>
  <c r="I37" i="5"/>
  <c r="H37" i="5"/>
  <c r="H36" i="5"/>
  <c r="I36" i="5" s="1"/>
  <c r="G36" i="5"/>
  <c r="E36" i="5"/>
  <c r="J36" i="5" s="1"/>
  <c r="I35" i="5"/>
  <c r="H35" i="5"/>
  <c r="G35" i="5"/>
  <c r="J35" i="5" s="1"/>
  <c r="E35" i="5"/>
  <c r="J34" i="5"/>
  <c r="H34" i="5"/>
  <c r="I34" i="5" s="1"/>
  <c r="G34" i="5"/>
  <c r="J33" i="5"/>
  <c r="I33" i="5"/>
  <c r="H33" i="5"/>
  <c r="G32" i="5"/>
  <c r="J32" i="5" s="1"/>
  <c r="I31" i="5"/>
  <c r="H31" i="5"/>
  <c r="G31" i="5"/>
  <c r="J31" i="5" s="1"/>
  <c r="E31" i="5"/>
  <c r="J30" i="5"/>
  <c r="H30" i="5"/>
  <c r="I30" i="5" s="1"/>
  <c r="J29" i="5"/>
  <c r="I29" i="5"/>
  <c r="H29" i="5"/>
  <c r="J28" i="5"/>
  <c r="H28" i="5"/>
  <c r="I28" i="5" s="1"/>
  <c r="G27" i="5"/>
  <c r="J27" i="5" s="1"/>
  <c r="G26" i="5"/>
  <c r="J26" i="5" s="1"/>
  <c r="G25" i="5"/>
  <c r="J25" i="5" s="1"/>
  <c r="G24" i="5"/>
  <c r="J24" i="5" s="1"/>
  <c r="G23" i="5"/>
  <c r="J23" i="5" s="1"/>
  <c r="G22" i="5"/>
  <c r="J22" i="5" s="1"/>
  <c r="E22" i="5"/>
  <c r="J21" i="5"/>
  <c r="H21" i="5"/>
  <c r="I21" i="5" s="1"/>
  <c r="G21" i="5"/>
  <c r="J20" i="5"/>
  <c r="H20" i="5"/>
  <c r="I20" i="5" s="1"/>
  <c r="G20" i="5"/>
  <c r="J19" i="5"/>
  <c r="H19" i="5"/>
  <c r="I19" i="5" s="1"/>
  <c r="G19" i="5"/>
  <c r="H18" i="5"/>
  <c r="I18" i="5" s="1"/>
  <c r="G18" i="5"/>
  <c r="E18" i="5"/>
  <c r="J18" i="5" s="1"/>
  <c r="I17" i="5"/>
  <c r="H17" i="5"/>
  <c r="G17" i="5"/>
  <c r="J17" i="5" s="1"/>
  <c r="G16" i="5"/>
  <c r="J16" i="5" s="1"/>
  <c r="E16" i="5"/>
  <c r="J15" i="5"/>
  <c r="H15" i="5"/>
  <c r="G15" i="5"/>
  <c r="E15" i="5"/>
  <c r="I15" i="5" s="1"/>
  <c r="G14" i="5"/>
  <c r="J14" i="5" s="1"/>
  <c r="E14" i="5"/>
  <c r="H13" i="5"/>
  <c r="I13" i="5" s="1"/>
  <c r="G13" i="5"/>
  <c r="E13" i="5"/>
  <c r="J13" i="5" s="1"/>
  <c r="I12" i="5"/>
  <c r="H12" i="5"/>
  <c r="G12" i="5"/>
  <c r="J12" i="5" s="1"/>
  <c r="E12" i="5"/>
  <c r="H11" i="5"/>
  <c r="I11" i="5" s="1"/>
  <c r="G11" i="5"/>
  <c r="E11" i="5"/>
  <c r="J11" i="5" s="1"/>
  <c r="G10" i="5"/>
  <c r="J10" i="5" s="1"/>
  <c r="E10" i="5"/>
  <c r="J9" i="5"/>
  <c r="H9" i="5"/>
  <c r="I9" i="5" s="1"/>
  <c r="J8" i="5"/>
  <c r="I8" i="5"/>
  <c r="H8" i="5"/>
  <c r="H7" i="5"/>
  <c r="I7" i="5" s="1"/>
  <c r="G7" i="5"/>
  <c r="E7" i="5"/>
  <c r="J7" i="5" s="1"/>
  <c r="J6" i="5"/>
  <c r="I6" i="5"/>
  <c r="H6" i="5"/>
  <c r="H5" i="5"/>
  <c r="I5" i="5" s="1"/>
  <c r="G5" i="5"/>
  <c r="E5" i="5"/>
  <c r="J5" i="5" s="1"/>
  <c r="G4" i="5"/>
  <c r="J4" i="5" s="1"/>
  <c r="E4" i="5"/>
  <c r="H3" i="5"/>
  <c r="I3" i="5" s="1"/>
  <c r="G3" i="5"/>
  <c r="J3" i="5" s="1"/>
  <c r="E3" i="5"/>
  <c r="G2" i="5"/>
  <c r="J2" i="5" s="1"/>
  <c r="E2" i="5"/>
  <c r="J40" i="14" l="1"/>
  <c r="Z31" i="14"/>
  <c r="Z40" i="14"/>
  <c r="Z27" i="14"/>
  <c r="Z32" i="14"/>
  <c r="Z24" i="14"/>
  <c r="Z35" i="14"/>
  <c r="J39" i="14"/>
  <c r="J9" i="14"/>
  <c r="Z23" i="14"/>
  <c r="J7" i="14"/>
  <c r="Z19" i="14"/>
  <c r="J16" i="14"/>
  <c r="Z17" i="14"/>
  <c r="J21" i="14"/>
  <c r="J34" i="14"/>
  <c r="Z5" i="14"/>
  <c r="Z9" i="14"/>
  <c r="J12" i="14"/>
  <c r="J11" i="14"/>
  <c r="J4" i="14"/>
  <c r="J8" i="14"/>
  <c r="Z12" i="14"/>
  <c r="J24" i="14"/>
  <c r="J26" i="14"/>
  <c r="J28" i="14"/>
  <c r="J30" i="14"/>
  <c r="Z4" i="14"/>
  <c r="J22" i="14"/>
  <c r="J35" i="14"/>
  <c r="J6" i="14"/>
  <c r="J10" i="14"/>
  <c r="J33" i="14"/>
  <c r="J23" i="14"/>
  <c r="J38" i="14"/>
  <c r="T8" i="8"/>
  <c r="S8" i="8"/>
  <c r="U8" i="8" s="1"/>
  <c r="T24" i="8"/>
  <c r="S24" i="8"/>
  <c r="U24" i="8" s="1"/>
  <c r="T61" i="8"/>
  <c r="S61" i="8"/>
  <c r="U61" i="8" s="1"/>
  <c r="T66" i="8"/>
  <c r="S66" i="8"/>
  <c r="U66" i="8" s="1"/>
  <c r="S79" i="8"/>
  <c r="U79" i="8" s="1"/>
  <c r="T79" i="8"/>
  <c r="T29" i="8"/>
  <c r="S29" i="8"/>
  <c r="U29" i="8" s="1"/>
  <c r="T67" i="8"/>
  <c r="S67" i="8"/>
  <c r="U67" i="8" s="1"/>
  <c r="T90" i="8"/>
  <c r="S90" i="8"/>
  <c r="U90" i="8" s="1"/>
  <c r="D82" i="10"/>
  <c r="D81" i="10"/>
  <c r="D83" i="10"/>
  <c r="D84" i="10" s="1"/>
  <c r="D85" i="10" s="1"/>
  <c r="D86" i="10" s="1"/>
  <c r="D87" i="10" s="1"/>
  <c r="D88" i="10" s="1"/>
  <c r="D89" i="10" s="1"/>
  <c r="D90" i="10" s="1"/>
  <c r="D91" i="10" s="1"/>
  <c r="D92" i="10" s="1"/>
  <c r="D93" i="10" s="1"/>
  <c r="D94" i="10" s="1"/>
  <c r="T30" i="8"/>
  <c r="S30" i="8"/>
  <c r="U30" i="8" s="1"/>
  <c r="T88" i="8"/>
  <c r="S88" i="8"/>
  <c r="U88" i="8" s="1"/>
  <c r="D307" i="10"/>
  <c r="D310" i="10" s="1"/>
  <c r="D311" i="10" s="1"/>
  <c r="D312" i="10" s="1"/>
  <c r="D313" i="10" s="1"/>
  <c r="D314" i="10" s="1"/>
  <c r="D315" i="10" s="1"/>
  <c r="D316" i="10" s="1"/>
  <c r="D317" i="10" s="1"/>
  <c r="D318" i="10" s="1"/>
  <c r="D308" i="10"/>
  <c r="D309" i="10" s="1"/>
  <c r="S32" i="8"/>
  <c r="U32" i="8" s="1"/>
  <c r="T32" i="8"/>
  <c r="T70" i="8"/>
  <c r="S70" i="8"/>
  <c r="U70" i="8" s="1"/>
  <c r="T73" i="8"/>
  <c r="S73" i="8"/>
  <c r="U73" i="8" s="1"/>
  <c r="S43" i="8"/>
  <c r="U43" i="8" s="1"/>
  <c r="T43" i="8"/>
  <c r="S10" i="8"/>
  <c r="U10" i="8" s="1"/>
  <c r="T10" i="8"/>
  <c r="T60" i="8"/>
  <c r="S60" i="8"/>
  <c r="U60" i="8" s="1"/>
  <c r="S102" i="8"/>
  <c r="U102" i="8" s="1"/>
  <c r="T102" i="8"/>
  <c r="H14" i="5"/>
  <c r="I14" i="5" s="1"/>
  <c r="H23" i="5"/>
  <c r="I23" i="5" s="1"/>
  <c r="H25" i="5"/>
  <c r="I25" i="5" s="1"/>
  <c r="H27" i="5"/>
  <c r="I27" i="5" s="1"/>
  <c r="H39" i="5"/>
  <c r="I39" i="5" s="1"/>
  <c r="H43" i="5"/>
  <c r="I43" i="5" s="1"/>
  <c r="H45" i="5"/>
  <c r="I45" i="5" s="1"/>
  <c r="H53" i="5"/>
  <c r="I53" i="5" s="1"/>
  <c r="H55" i="5"/>
  <c r="I55" i="5" s="1"/>
  <c r="H67" i="5"/>
  <c r="I67" i="5" s="1"/>
  <c r="H72" i="5"/>
  <c r="I72" i="5" s="1"/>
  <c r="H77" i="5"/>
  <c r="I77" i="5" s="1"/>
  <c r="H79" i="5"/>
  <c r="I79" i="5" s="1"/>
  <c r="H101" i="5"/>
  <c r="I101" i="5" s="1"/>
  <c r="H111" i="5"/>
  <c r="I111" i="5" s="1"/>
  <c r="H115" i="5"/>
  <c r="I115" i="5" s="1"/>
  <c r="H117" i="5"/>
  <c r="I117" i="5" s="1"/>
  <c r="H14" i="6"/>
  <c r="I14" i="6" s="1"/>
  <c r="H19" i="6"/>
  <c r="I19" i="6" s="1"/>
  <c r="H27" i="6"/>
  <c r="I27" i="6" s="1"/>
  <c r="H34" i="6"/>
  <c r="I34" i="6" s="1"/>
  <c r="S18" i="8"/>
  <c r="U18" i="8" s="1"/>
  <c r="S31" i="8"/>
  <c r="U31" i="8" s="1"/>
  <c r="S42" i="8"/>
  <c r="U42" i="8" s="1"/>
  <c r="S46" i="8"/>
  <c r="U46" i="8" s="1"/>
  <c r="S52" i="8"/>
  <c r="U52" i="8" s="1"/>
  <c r="S58" i="8"/>
  <c r="U58" i="8" s="1"/>
  <c r="S84" i="8"/>
  <c r="U84" i="8" s="1"/>
  <c r="S93" i="8"/>
  <c r="U93" i="8" s="1"/>
  <c r="S96" i="8"/>
  <c r="U96" i="8" s="1"/>
  <c r="U101" i="8"/>
  <c r="S116" i="8"/>
  <c r="U116" i="8" s="1"/>
  <c r="U131" i="8"/>
  <c r="L182" i="10"/>
  <c r="L183" i="10" s="1"/>
  <c r="L184" i="10" s="1"/>
  <c r="L185" i="10" s="1"/>
  <c r="L186" i="10" s="1"/>
  <c r="L187" i="10" s="1"/>
  <c r="L188" i="10" s="1"/>
  <c r="L189" i="10" s="1"/>
  <c r="L190" i="10" s="1"/>
  <c r="L191" i="10" s="1"/>
  <c r="L192" i="10" s="1"/>
  <c r="L193" i="10" s="1"/>
  <c r="L194" i="10" s="1"/>
  <c r="L195" i="10" s="1"/>
  <c r="L196" i="10" s="1"/>
  <c r="L197" i="10" s="1"/>
  <c r="L198" i="10" s="1"/>
  <c r="L199" i="10" s="1"/>
  <c r="L200" i="10" s="1"/>
  <c r="L201" i="10" s="1"/>
  <c r="L202" i="10" s="1"/>
  <c r="L203" i="10" s="1"/>
  <c r="L204" i="10" s="1"/>
  <c r="L205" i="10" s="1"/>
  <c r="L206" i="10" s="1"/>
  <c r="L207" i="10" s="1"/>
  <c r="L208" i="10" s="1"/>
  <c r="L209" i="10" s="1"/>
  <c r="L210" i="10" s="1"/>
  <c r="L211" i="10" s="1"/>
  <c r="L212" i="10" s="1"/>
  <c r="L213" i="10" s="1"/>
  <c r="L214" i="10" s="1"/>
  <c r="L215" i="10" s="1"/>
  <c r="L216" i="10" s="1"/>
  <c r="L217" i="10" s="1"/>
  <c r="L218" i="10" s="1"/>
  <c r="L219" i="10" s="1"/>
  <c r="L220" i="10" s="1"/>
  <c r="L221" i="10" s="1"/>
  <c r="L222" i="10" s="1"/>
  <c r="U112" i="8"/>
  <c r="D282" i="10"/>
  <c r="D283" i="10" s="1"/>
  <c r="D281" i="10"/>
  <c r="D284" i="10" s="1"/>
  <c r="D285" i="10" s="1"/>
  <c r="D286" i="10" s="1"/>
  <c r="D287" i="10" s="1"/>
  <c r="D288" i="10" s="1"/>
  <c r="D289" i="10" s="1"/>
  <c r="D290" i="10" s="1"/>
  <c r="D291" i="10" s="1"/>
  <c r="D292" i="10" s="1"/>
  <c r="L466" i="10"/>
  <c r="L467" i="10" s="1"/>
  <c r="L468" i="10" s="1"/>
  <c r="L469" i="10" s="1"/>
  <c r="L470" i="10" s="1"/>
  <c r="L471" i="10" s="1"/>
  <c r="L472" i="10" s="1"/>
  <c r="L473" i="10" s="1"/>
  <c r="L474" i="10" s="1"/>
  <c r="L475" i="10" s="1"/>
  <c r="L476" i="10" s="1"/>
  <c r="L477" i="10" s="1"/>
  <c r="L478" i="10" s="1"/>
  <c r="L479" i="10" s="1"/>
  <c r="L480" i="10" s="1"/>
  <c r="L481" i="10" s="1"/>
  <c r="L482" i="10" s="1"/>
  <c r="L483" i="10" s="1"/>
  <c r="L484" i="10" s="1"/>
  <c r="L485" i="10" s="1"/>
  <c r="L486" i="10" s="1"/>
  <c r="L487" i="10" s="1"/>
  <c r="L488" i="10" s="1"/>
  <c r="L489" i="10" s="1"/>
  <c r="L490" i="10" s="1"/>
  <c r="L491" i="10" s="1"/>
  <c r="L492" i="10" s="1"/>
  <c r="L493" i="10" s="1"/>
  <c r="L494" i="10" s="1"/>
  <c r="L495" i="10" s="1"/>
  <c r="L496" i="10" s="1"/>
  <c r="L497" i="10" s="1"/>
  <c r="L498" i="10" s="1"/>
  <c r="L499" i="10" s="1"/>
  <c r="L500" i="10" s="1"/>
  <c r="L501" i="10" s="1"/>
  <c r="L502" i="10" s="1"/>
  <c r="L503" i="10" s="1"/>
  <c r="L504" i="10" s="1"/>
  <c r="H2" i="5"/>
  <c r="I2" i="5" s="1"/>
  <c r="H16" i="5"/>
  <c r="I16" i="5" s="1"/>
  <c r="H32" i="5"/>
  <c r="I32" i="5" s="1"/>
  <c r="H74" i="5"/>
  <c r="I74" i="5" s="1"/>
  <c r="H90" i="5"/>
  <c r="I90" i="5" s="1"/>
  <c r="H92" i="5"/>
  <c r="I92" i="5" s="1"/>
  <c r="H94" i="5"/>
  <c r="I94" i="5" s="1"/>
  <c r="H96" i="5"/>
  <c r="I96" i="5" s="1"/>
  <c r="H98" i="5"/>
  <c r="I98" i="5" s="1"/>
  <c r="H103" i="5"/>
  <c r="I103" i="5" s="1"/>
  <c r="H3" i="6"/>
  <c r="I3" i="6" s="1"/>
  <c r="H8" i="6"/>
  <c r="I8" i="6" s="1"/>
  <c r="H16" i="6"/>
  <c r="I16" i="6" s="1"/>
  <c r="H21" i="6"/>
  <c r="I21" i="6" s="1"/>
  <c r="H36" i="6"/>
  <c r="I36" i="6" s="1"/>
  <c r="H38" i="6"/>
  <c r="I38" i="6" s="1"/>
  <c r="H43" i="6"/>
  <c r="I43" i="6" s="1"/>
  <c r="T108" i="8"/>
  <c r="S108" i="8"/>
  <c r="U108" i="8" s="1"/>
  <c r="T110" i="8"/>
  <c r="T114" i="8"/>
  <c r="T119" i="8"/>
  <c r="S119" i="8"/>
  <c r="U119" i="8" s="1"/>
  <c r="L33" i="10"/>
  <c r="L34" i="10" s="1"/>
  <c r="L35" i="10" s="1"/>
  <c r="L36" i="10" s="1"/>
  <c r="L37" i="10" s="1"/>
  <c r="L38" i="10" s="1"/>
  <c r="L39" i="10" s="1"/>
  <c r="L40" i="10" s="1"/>
  <c r="L41" i="10" s="1"/>
  <c r="L42" i="10" s="1"/>
  <c r="L764" i="10"/>
  <c r="L765" i="10" s="1"/>
  <c r="L766" i="10" s="1"/>
  <c r="L767" i="10" s="1"/>
  <c r="L768" i="10" s="1"/>
  <c r="L916" i="10"/>
  <c r="H4" i="5"/>
  <c r="I4" i="5" s="1"/>
  <c r="H10" i="5"/>
  <c r="I10" i="5" s="1"/>
  <c r="H22" i="5"/>
  <c r="I22" i="5" s="1"/>
  <c r="H24" i="5"/>
  <c r="I24" i="5" s="1"/>
  <c r="H26" i="5"/>
  <c r="I26" i="5" s="1"/>
  <c r="H42" i="5"/>
  <c r="I42" i="5" s="1"/>
  <c r="H44" i="5"/>
  <c r="I44" i="5" s="1"/>
  <c r="H61" i="5"/>
  <c r="I61" i="5" s="1"/>
  <c r="H68" i="5"/>
  <c r="I68" i="5" s="1"/>
  <c r="H78" i="5"/>
  <c r="I78" i="5" s="1"/>
  <c r="H80" i="5"/>
  <c r="I80" i="5" s="1"/>
  <c r="H114" i="5"/>
  <c r="I114" i="5" s="1"/>
  <c r="H120" i="5"/>
  <c r="I120" i="5" s="1"/>
  <c r="H5" i="6"/>
  <c r="I5" i="6" s="1"/>
  <c r="H10" i="6"/>
  <c r="I10" i="6" s="1"/>
  <c r="H18" i="6"/>
  <c r="I18" i="6" s="1"/>
  <c r="H23" i="6"/>
  <c r="I23" i="6" s="1"/>
  <c r="H30" i="6"/>
  <c r="I30" i="6" s="1"/>
  <c r="H40" i="6"/>
  <c r="I40" i="6" s="1"/>
  <c r="S4" i="8"/>
  <c r="U4" i="8" s="1"/>
  <c r="S7" i="8"/>
  <c r="U7" i="8" s="1"/>
  <c r="S11" i="8"/>
  <c r="U11" i="8" s="1"/>
  <c r="S16" i="8"/>
  <c r="U16" i="8" s="1"/>
  <c r="S20" i="8"/>
  <c r="U20" i="8" s="1"/>
  <c r="S26" i="8"/>
  <c r="U26" i="8" s="1"/>
  <c r="S33" i="8"/>
  <c r="U33" i="8" s="1"/>
  <c r="S63" i="8"/>
  <c r="U63" i="8" s="1"/>
  <c r="S76" i="8"/>
  <c r="U76" i="8" s="1"/>
  <c r="S80" i="8"/>
  <c r="U80" i="8" s="1"/>
  <c r="S100" i="8"/>
  <c r="U100" i="8" s="1"/>
  <c r="U106" i="8"/>
  <c r="T122" i="8"/>
  <c r="L19" i="10"/>
  <c r="L70" i="10"/>
  <c r="L71" i="10" s="1"/>
  <c r="L72" i="10" s="1"/>
  <c r="L73" i="10" s="1"/>
  <c r="L74" i="10" s="1"/>
  <c r="L75" i="10" s="1"/>
  <c r="L76" i="10" s="1"/>
  <c r="L77" i="10" s="1"/>
  <c r="L78" i="10" s="1"/>
  <c r="L79" i="10" s="1"/>
  <c r="L80" i="10" s="1"/>
  <c r="L81" i="10" s="1"/>
  <c r="L82" i="10" s="1"/>
  <c r="L83" i="10" s="1"/>
  <c r="L84" i="10" s="1"/>
  <c r="L85" i="10" s="1"/>
  <c r="L86" i="10" s="1"/>
  <c r="L87" i="10" s="1"/>
  <c r="L88" i="10" s="1"/>
  <c r="L89" i="10" s="1"/>
  <c r="L90" i="10" s="1"/>
  <c r="L91" i="10" s="1"/>
  <c r="L92" i="10" s="1"/>
  <c r="L93" i="10" s="1"/>
  <c r="L94" i="10" s="1"/>
  <c r="L95" i="10" s="1"/>
  <c r="L96" i="10" s="1"/>
  <c r="L97" i="10" s="1"/>
  <c r="L98" i="10" s="1"/>
  <c r="L99" i="10" s="1"/>
  <c r="L100" i="10" s="1"/>
  <c r="L101" i="10" s="1"/>
  <c r="L102" i="10" s="1"/>
  <c r="L103" i="10" s="1"/>
  <c r="L104" i="10" s="1"/>
  <c r="L105" i="10" s="1"/>
  <c r="L106" i="10" s="1"/>
  <c r="L107" i="10" s="1"/>
  <c r="L108" i="10" s="1"/>
  <c r="L109" i="10" s="1"/>
  <c r="L110" i="10" s="1"/>
  <c r="L111" i="10" s="1"/>
  <c r="L112" i="10" s="1"/>
  <c r="L113" i="10" s="1"/>
  <c r="L114" i="10" s="1"/>
  <c r="L115" i="10" s="1"/>
  <c r="L116" i="10" s="1"/>
  <c r="L117" i="10" s="1"/>
  <c r="L118" i="10" s="1"/>
  <c r="L119" i="10" s="1"/>
  <c r="L774" i="10"/>
  <c r="L775" i="10" s="1"/>
  <c r="L776" i="10" s="1"/>
  <c r="L777" i="10" s="1"/>
  <c r="L778" i="10" s="1"/>
  <c r="L779" i="10" s="1"/>
  <c r="L780" i="10" s="1"/>
  <c r="L781" i="10" s="1"/>
  <c r="L782" i="10" s="1"/>
  <c r="L783" i="10" s="1"/>
  <c r="L784" i="10" s="1"/>
  <c r="L785" i="10" s="1"/>
  <c r="L786" i="10" s="1"/>
  <c r="I116" i="5"/>
  <c r="I118" i="5"/>
  <c r="U111" i="8"/>
  <c r="U113" i="8"/>
  <c r="L122" i="10"/>
  <c r="L123" i="10" s="1"/>
  <c r="L124" i="10" s="1"/>
  <c r="L125" i="10" s="1"/>
  <c r="L126" i="10" s="1"/>
  <c r="L127" i="10" s="1"/>
  <c r="L128" i="10" s="1"/>
  <c r="L129" i="10" s="1"/>
  <c r="L130" i="10" s="1"/>
  <c r="L131" i="10" s="1"/>
  <c r="L132" i="10" s="1"/>
  <c r="L133" i="10" s="1"/>
  <c r="L134" i="10" s="1"/>
  <c r="L135" i="10" s="1"/>
  <c r="L136" i="10" s="1"/>
  <c r="L137" i="10" s="1"/>
  <c r="L138" i="10" s="1"/>
  <c r="L139" i="10" s="1"/>
  <c r="L140" i="10" s="1"/>
  <c r="L141" i="10" s="1"/>
  <c r="L142" i="10" s="1"/>
  <c r="L143" i="10" s="1"/>
  <c r="L144" i="10" s="1"/>
  <c r="L145" i="10" s="1"/>
  <c r="L146" i="10" s="1"/>
  <c r="L147" i="10" s="1"/>
  <c r="L148" i="10" s="1"/>
  <c r="L149" i="10" s="1"/>
  <c r="L150" i="10" s="1"/>
  <c r="L425" i="10"/>
  <c r="L426" i="10" s="1"/>
  <c r="L427" i="10" s="1"/>
  <c r="L428" i="10" s="1"/>
  <c r="L429" i="10" s="1"/>
  <c r="L430" i="10" s="1"/>
  <c r="L431" i="10" s="1"/>
  <c r="L432" i="10" s="1"/>
  <c r="L433" i="10" s="1"/>
  <c r="L434" i="10" s="1"/>
  <c r="L435" i="10" s="1"/>
  <c r="L436" i="10" s="1"/>
  <c r="L437" i="10" s="1"/>
  <c r="L438" i="10" s="1"/>
  <c r="L439" i="10" s="1"/>
  <c r="L440" i="10" s="1"/>
  <c r="L441" i="10" s="1"/>
  <c r="L442" i="10" s="1"/>
  <c r="L443" i="10" s="1"/>
  <c r="L444" i="10" s="1"/>
  <c r="L445" i="10" s="1"/>
  <c r="L446" i="10" s="1"/>
  <c r="L447" i="10" s="1"/>
  <c r="L448" i="10" s="1"/>
  <c r="L449" i="10" s="1"/>
  <c r="L450" i="10" s="1"/>
  <c r="L451" i="10" s="1"/>
  <c r="L452" i="10" s="1"/>
  <c r="L453" i="10" s="1"/>
  <c r="L454" i="10" s="1"/>
  <c r="L455" i="10" s="1"/>
  <c r="L456" i="10" s="1"/>
  <c r="L457" i="10" s="1"/>
  <c r="L458" i="10" s="1"/>
  <c r="L459" i="10" s="1"/>
  <c r="L638" i="10"/>
  <c r="L639" i="10" s="1"/>
  <c r="L640" i="10" s="1"/>
  <c r="L641" i="10" s="1"/>
  <c r="L642" i="10" s="1"/>
  <c r="L643" i="10" s="1"/>
  <c r="L644" i="10" s="1"/>
  <c r="L645" i="10" s="1"/>
  <c r="L646" i="10" s="1"/>
  <c r="L647" i="10" s="1"/>
  <c r="L648" i="10" s="1"/>
  <c r="L649" i="10" s="1"/>
  <c r="L650" i="10" s="1"/>
  <c r="L651" i="10" s="1"/>
  <c r="L652" i="10" s="1"/>
  <c r="L653" i="10" s="1"/>
  <c r="L654" i="10" s="1"/>
  <c r="L655" i="10" s="1"/>
  <c r="L656" i="10" s="1"/>
  <c r="L657" i="10" s="1"/>
  <c r="L658" i="10" s="1"/>
  <c r="L659" i="10" s="1"/>
  <c r="L660" i="10" s="1"/>
  <c r="L661" i="10" s="1"/>
  <c r="L662" i="10" s="1"/>
  <c r="D685" i="10"/>
  <c r="D686" i="10" s="1"/>
  <c r="D684" i="10"/>
  <c r="D687" i="10" s="1"/>
  <c r="D688" i="10" s="1"/>
  <c r="D689" i="10" s="1"/>
  <c r="D690" i="10" s="1"/>
  <c r="D691" i="10" s="1"/>
  <c r="D692" i="10" s="1"/>
  <c r="L865" i="10"/>
  <c r="L866" i="10" s="1"/>
  <c r="L867" i="10" s="1"/>
  <c r="L868" i="10" s="1"/>
  <c r="L869" i="10" s="1"/>
  <c r="L870" i="10" s="1"/>
  <c r="L871" i="10" s="1"/>
  <c r="L872" i="10" s="1"/>
  <c r="L873" i="10" s="1"/>
  <c r="L874" i="10" s="1"/>
  <c r="L875" i="10" s="1"/>
  <c r="L876" i="10" s="1"/>
  <c r="L877" i="10" s="1"/>
  <c r="L878" i="10" s="1"/>
  <c r="L879" i="10" s="1"/>
  <c r="L880" i="10" s="1"/>
  <c r="P26" i="13"/>
  <c r="O26" i="13"/>
  <c r="P34" i="13"/>
  <c r="O34" i="13"/>
  <c r="L56" i="15"/>
  <c r="L57" i="15" s="1"/>
  <c r="L58" i="15" s="1"/>
  <c r="L59" i="15" s="1"/>
  <c r="L60" i="15" s="1"/>
  <c r="L61" i="15" s="1"/>
  <c r="L62" i="15" s="1"/>
  <c r="L63" i="15" s="1"/>
  <c r="L64" i="15" s="1"/>
  <c r="L65" i="15" s="1"/>
  <c r="L66" i="15" s="1"/>
  <c r="L67" i="15" s="1"/>
  <c r="L68" i="15" s="1"/>
  <c r="K764" i="10"/>
  <c r="L507" i="10"/>
  <c r="L508" i="10" s="1"/>
  <c r="L509" i="10" s="1"/>
  <c r="L575" i="10"/>
  <c r="L576" i="10" s="1"/>
  <c r="L577" i="10" s="1"/>
  <c r="L578" i="10" s="1"/>
  <c r="L579" i="10" s="1"/>
  <c r="L696" i="10"/>
  <c r="L697" i="10" s="1"/>
  <c r="L699" i="10" s="1"/>
  <c r="L698" i="10" s="1"/>
  <c r="L700" i="10" s="1"/>
  <c r="D706" i="10"/>
  <c r="D707" i="10" s="1"/>
  <c r="D705" i="10"/>
  <c r="D708" i="10" s="1"/>
  <c r="D709" i="10" s="1"/>
  <c r="D710" i="10" s="1"/>
  <c r="D711" i="10" s="1"/>
  <c r="D712" i="10" s="1"/>
  <c r="D713" i="10" s="1"/>
  <c r="L849" i="10"/>
  <c r="L850" i="10" s="1"/>
  <c r="L851" i="10" s="1"/>
  <c r="L852" i="10" s="1"/>
  <c r="L853" i="10" s="1"/>
  <c r="L854" i="10" s="1"/>
  <c r="L855" i="10" s="1"/>
  <c r="L856" i="10" s="1"/>
  <c r="L857" i="10" s="1"/>
  <c r="L858" i="10" s="1"/>
  <c r="L859" i="10" s="1"/>
  <c r="L860" i="10" s="1"/>
  <c r="D999" i="10"/>
  <c r="D1000" i="10"/>
  <c r="D1001" i="10" s="1"/>
  <c r="D1002" i="10" s="1"/>
  <c r="D1003" i="10" s="1"/>
  <c r="D1004" i="10" s="1"/>
  <c r="D1005" i="10" s="1"/>
  <c r="D1006" i="10" s="1"/>
  <c r="D1007" i="10" s="1"/>
  <c r="D1008" i="10" s="1"/>
  <c r="S115" i="8"/>
  <c r="U115" i="8" s="1"/>
  <c r="S125" i="8"/>
  <c r="U125" i="8" s="1"/>
  <c r="S127" i="8"/>
  <c r="U127" i="8" s="1"/>
  <c r="L671" i="10"/>
  <c r="L673" i="10" s="1"/>
  <c r="L672" i="10" s="1"/>
  <c r="L674" i="10" s="1"/>
  <c r="L675" i="10" s="1"/>
  <c r="L676" i="10" s="1"/>
  <c r="L677" i="10" s="1"/>
  <c r="L678" i="10" s="1"/>
  <c r="L679" i="10" s="1"/>
  <c r="L690" i="10"/>
  <c r="L691" i="10" s="1"/>
  <c r="L692" i="10" s="1"/>
  <c r="L694" i="10" s="1"/>
  <c r="L693" i="10" s="1"/>
  <c r="L695" i="10" s="1"/>
  <c r="L820" i="10"/>
  <c r="L821" i="10" s="1"/>
  <c r="L822" i="10" s="1"/>
  <c r="L823" i="10" s="1"/>
  <c r="L824" i="10" s="1"/>
  <c r="L825" i="10" s="1"/>
  <c r="L826" i="10" s="1"/>
  <c r="L827" i="10" s="1"/>
  <c r="L828" i="10" s="1"/>
  <c r="L829" i="10" s="1"/>
  <c r="L830" i="10" s="1"/>
  <c r="L831" i="10" s="1"/>
  <c r="L832" i="10" s="1"/>
  <c r="L833" i="10" s="1"/>
  <c r="L834" i="10" s="1"/>
  <c r="L835" i="10" s="1"/>
  <c r="L836" i="10" s="1"/>
  <c r="L837" i="10" s="1"/>
  <c r="L838" i="10" s="1"/>
  <c r="L839" i="10" s="1"/>
  <c r="L840" i="10" s="1"/>
  <c r="L841" i="10" s="1"/>
  <c r="L842" i="10" s="1"/>
  <c r="L843" i="10" s="1"/>
  <c r="L463" i="10"/>
  <c r="L612" i="10"/>
  <c r="L613" i="10" s="1"/>
  <c r="L614" i="10" s="1"/>
  <c r="L615" i="10" s="1"/>
  <c r="L616" i="10" s="1"/>
  <c r="L617" i="10" s="1"/>
  <c r="L618" i="10" s="1"/>
  <c r="L619" i="10" s="1"/>
  <c r="L620" i="10" s="1"/>
  <c r="L621" i="10" s="1"/>
  <c r="L622" i="10" s="1"/>
  <c r="L623" i="10" s="1"/>
  <c r="L624" i="10" s="1"/>
  <c r="L625" i="10" s="1"/>
  <c r="L423" i="10"/>
  <c r="L464" i="10"/>
  <c r="L465" i="10" s="1"/>
  <c r="H64" i="11"/>
  <c r="H65" i="11" s="1"/>
  <c r="L424" i="10"/>
  <c r="L510" i="10"/>
  <c r="L511" i="10" s="1"/>
  <c r="L512" i="10" s="1"/>
  <c r="L513" i="10" s="1"/>
  <c r="L514" i="10" s="1"/>
  <c r="L515" i="10" s="1"/>
  <c r="L516" i="10" s="1"/>
  <c r="L517" i="10" s="1"/>
  <c r="L518" i="10" s="1"/>
  <c r="L519" i="10" s="1"/>
  <c r="L520" i="10" s="1"/>
  <c r="L521" i="10" s="1"/>
  <c r="L522" i="10" s="1"/>
  <c r="L523" i="10" s="1"/>
  <c r="L524" i="10" s="1"/>
  <c r="L525" i="10" s="1"/>
  <c r="L526" i="10" s="1"/>
  <c r="L527" i="10" s="1"/>
  <c r="L528" i="10" s="1"/>
  <c r="L529" i="10" s="1"/>
  <c r="L530" i="10" s="1"/>
  <c r="L531" i="10" s="1"/>
  <c r="L532" i="10" s="1"/>
  <c r="L533" i="10" s="1"/>
  <c r="L534" i="10" s="1"/>
  <c r="L535" i="10" s="1"/>
  <c r="L536" i="10" s="1"/>
  <c r="L537" i="10" s="1"/>
  <c r="L538" i="10" s="1"/>
  <c r="L539" i="10" s="1"/>
  <c r="L540" i="10" s="1"/>
  <c r="L541" i="10" s="1"/>
  <c r="L542" i="10" s="1"/>
  <c r="L543" i="10" s="1"/>
  <c r="L544" i="10" s="1"/>
  <c r="L545" i="10" s="1"/>
  <c r="L546" i="10" s="1"/>
  <c r="L547" i="10" s="1"/>
  <c r="L548" i="10" s="1"/>
  <c r="L549" i="10" s="1"/>
  <c r="L550" i="10" s="1"/>
  <c r="L551" i="10" s="1"/>
  <c r="L552" i="10" s="1"/>
  <c r="L553" i="10" s="1"/>
  <c r="L554" i="10" s="1"/>
  <c r="L555" i="10" s="1"/>
  <c r="L556" i="10" s="1"/>
  <c r="L557" i="10" s="1"/>
  <c r="L558" i="10" s="1"/>
  <c r="L559" i="10" s="1"/>
  <c r="L560" i="10" s="1"/>
  <c r="L561" i="10" s="1"/>
  <c r="L562" i="10" s="1"/>
  <c r="L563" i="10" s="1"/>
  <c r="L564" i="10" s="1"/>
  <c r="L565" i="10" s="1"/>
  <c r="L566" i="10" s="1"/>
  <c r="L567" i="10" s="1"/>
  <c r="L568" i="10" s="1"/>
  <c r="L572" i="10"/>
  <c r="L573" i="10" s="1"/>
  <c r="L574" i="10" s="1"/>
  <c r="L637" i="10"/>
  <c r="L703" i="10"/>
  <c r="L704" i="10" s="1"/>
  <c r="L706" i="10" s="1"/>
  <c r="L705" i="10" s="1"/>
  <c r="L707" i="10" s="1"/>
  <c r="L709" i="10" s="1"/>
  <c r="L708" i="10" s="1"/>
  <c r="L710" i="10" s="1"/>
  <c r="L711" i="10" s="1"/>
  <c r="L712" i="10" s="1"/>
  <c r="L713" i="10" s="1"/>
  <c r="L715" i="10" s="1"/>
  <c r="L714" i="10" s="1"/>
  <c r="L716" i="10" s="1"/>
  <c r="L717" i="10" s="1"/>
  <c r="L718" i="10" s="1"/>
  <c r="L720" i="10" s="1"/>
  <c r="L719" i="10" s="1"/>
  <c r="L721" i="10" s="1"/>
  <c r="L724" i="10"/>
  <c r="L725" i="10" s="1"/>
  <c r="L726" i="10" s="1"/>
  <c r="L727" i="10" s="1"/>
  <c r="L728" i="10" s="1"/>
  <c r="L729" i="10" s="1"/>
  <c r="L730" i="10" s="1"/>
  <c r="L731" i="10" s="1"/>
  <c r="L732" i="10" s="1"/>
  <c r="L733" i="10" s="1"/>
  <c r="L734" i="10" s="1"/>
  <c r="L735" i="10" s="1"/>
  <c r="L736" i="10" s="1"/>
  <c r="L737" i="10" s="1"/>
  <c r="L738" i="10" s="1"/>
  <c r="L739" i="10" s="1"/>
  <c r="L740" i="10" s="1"/>
  <c r="L741" i="10" s="1"/>
  <c r="L742" i="10" s="1"/>
  <c r="L743" i="10" s="1"/>
  <c r="L773" i="10"/>
  <c r="K861" i="10"/>
  <c r="L929" i="10"/>
  <c r="L930" i="10" s="1"/>
  <c r="L931" i="10" s="1"/>
  <c r="L932" i="10" s="1"/>
  <c r="L933" i="10" s="1"/>
  <c r="L934" i="10" s="1"/>
  <c r="L935" i="10" s="1"/>
  <c r="L936" i="10" s="1"/>
  <c r="H142" i="11"/>
  <c r="H143" i="11" s="1"/>
  <c r="L977" i="10"/>
  <c r="H25" i="11"/>
  <c r="H26" i="11" s="1"/>
  <c r="H27" i="11" s="1"/>
  <c r="H69" i="11"/>
  <c r="H70" i="11" s="1"/>
  <c r="H71" i="11" s="1"/>
  <c r="H72" i="11" s="1"/>
  <c r="H73" i="11" s="1"/>
  <c r="H82" i="11"/>
  <c r="H90" i="11"/>
  <c r="H91" i="11" s="1"/>
  <c r="F135" i="11"/>
  <c r="F136" i="11"/>
  <c r="F137" i="11" s="1"/>
  <c r="F138" i="11" s="1"/>
  <c r="F139" i="11" s="1"/>
  <c r="F140" i="11" s="1"/>
  <c r="F141" i="11" s="1"/>
  <c r="F142" i="11" s="1"/>
  <c r="F143" i="11" s="1"/>
  <c r="H161" i="11"/>
  <c r="H162" i="11" s="1"/>
  <c r="H169" i="11"/>
  <c r="H170" i="11" s="1"/>
  <c r="H171" i="11" s="1"/>
  <c r="H172" i="11" s="1"/>
  <c r="H173" i="11" s="1"/>
  <c r="H174" i="11" s="1"/>
  <c r="H175" i="11" s="1"/>
  <c r="H176" i="11" s="1"/>
  <c r="H177" i="11" s="1"/>
  <c r="H178" i="11" s="1"/>
  <c r="P14" i="13"/>
  <c r="O14" i="13"/>
  <c r="D668" i="10"/>
  <c r="D669" i="10" s="1"/>
  <c r="L978" i="10"/>
  <c r="L993" i="10"/>
  <c r="L994" i="10" s="1"/>
  <c r="L995" i="10" s="1"/>
  <c r="L996" i="10" s="1"/>
  <c r="L997" i="10" s="1"/>
  <c r="L998" i="10" s="1"/>
  <c r="L999" i="10" s="1"/>
  <c r="L1000" i="10" s="1"/>
  <c r="L1001" i="10" s="1"/>
  <c r="L1002" i="10" s="1"/>
  <c r="L1003" i="10" s="1"/>
  <c r="L1004" i="10" s="1"/>
  <c r="L1005" i="10" s="1"/>
  <c r="L1006" i="10" s="1"/>
  <c r="L1007" i="10" s="1"/>
  <c r="L1008" i="10" s="1"/>
  <c r="H39" i="11"/>
  <c r="H83" i="11"/>
  <c r="H84" i="11" s="1"/>
  <c r="H85" i="11" s="1"/>
  <c r="H86" i="11" s="1"/>
  <c r="L945" i="10"/>
  <c r="L946" i="10" s="1"/>
  <c r="L947" i="10" s="1"/>
  <c r="L948" i="10" s="1"/>
  <c r="L949" i="10" s="1"/>
  <c r="L950" i="10" s="1"/>
  <c r="L951" i="10" s="1"/>
  <c r="L952" i="10" s="1"/>
  <c r="L953" i="10" s="1"/>
  <c r="L954" i="10" s="1"/>
  <c r="L955" i="10" s="1"/>
  <c r="L956" i="10" s="1"/>
  <c r="L957" i="10" s="1"/>
  <c r="L958" i="10" s="1"/>
  <c r="L959" i="10" s="1"/>
  <c r="L960" i="10" s="1"/>
  <c r="L961" i="10" s="1"/>
  <c r="L962" i="10" s="1"/>
  <c r="L963" i="10" s="1"/>
  <c r="L964" i="10" s="1"/>
  <c r="L965" i="10" s="1"/>
  <c r="L966" i="10" s="1"/>
  <c r="L967" i="10" s="1"/>
  <c r="L968" i="10" s="1"/>
  <c r="L969" i="10" s="1"/>
  <c r="L970" i="10" s="1"/>
  <c r="L971" i="10" s="1"/>
  <c r="L972" i="10" s="1"/>
  <c r="D977" i="10"/>
  <c r="D978" i="10" s="1"/>
  <c r="D976" i="10"/>
  <c r="L979" i="10"/>
  <c r="H28" i="11"/>
  <c r="H53" i="11"/>
  <c r="H92" i="11"/>
  <c r="P10" i="13"/>
  <c r="O10" i="13"/>
  <c r="L980" i="10"/>
  <c r="L981" i="10" s="1"/>
  <c r="L982" i="10" s="1"/>
  <c r="L983" i="10" s="1"/>
  <c r="L984" i="10" s="1"/>
  <c r="L985" i="10" s="1"/>
  <c r="L986" i="10" s="1"/>
  <c r="L987" i="10" s="1"/>
  <c r="L988" i="10" s="1"/>
  <c r="L989" i="10" s="1"/>
  <c r="L990" i="10" s="1"/>
  <c r="H40" i="11"/>
  <c r="H41" i="11" s="1"/>
  <c r="H42" i="11" s="1"/>
  <c r="H43" i="11" s="1"/>
  <c r="H44" i="11" s="1"/>
  <c r="H45" i="11" s="1"/>
  <c r="H46" i="11" s="1"/>
  <c r="H60" i="11"/>
  <c r="H93" i="11"/>
  <c r="H127" i="11"/>
  <c r="H128" i="11" s="1"/>
  <c r="H129" i="11" s="1"/>
  <c r="H130" i="11" s="1"/>
  <c r="H131" i="11" s="1"/>
  <c r="H94" i="11"/>
  <c r="H95" i="11" s="1"/>
  <c r="H96" i="11" s="1"/>
  <c r="H97" i="11" s="1"/>
  <c r="H98" i="11" s="1"/>
  <c r="H200" i="11"/>
  <c r="P2" i="13"/>
  <c r="O2" i="13"/>
  <c r="P13" i="13"/>
  <c r="O13" i="13"/>
  <c r="H4" i="11"/>
  <c r="H12" i="11"/>
  <c r="H87" i="11"/>
  <c r="H56" i="11"/>
  <c r="H63" i="11"/>
  <c r="H103" i="11"/>
  <c r="H104" i="11" s="1"/>
  <c r="H105" i="11" s="1"/>
  <c r="H106" i="11" s="1"/>
  <c r="F124" i="11"/>
  <c r="F125" i="11" s="1"/>
  <c r="F126" i="11" s="1"/>
  <c r="F127" i="11" s="1"/>
  <c r="F128" i="11" s="1"/>
  <c r="F129" i="11" s="1"/>
  <c r="F130" i="11" s="1"/>
  <c r="F131" i="11" s="1"/>
  <c r="F123" i="11"/>
  <c r="H139" i="11"/>
  <c r="H140" i="11" s="1"/>
  <c r="H141" i="11" s="1"/>
  <c r="H185" i="11"/>
  <c r="H186" i="11" s="1"/>
  <c r="H187" i="11" s="1"/>
  <c r="O3" i="13"/>
  <c r="P39" i="13"/>
  <c r="O39" i="13"/>
  <c r="J37" i="14"/>
  <c r="L84" i="15"/>
  <c r="L85" i="15" s="1"/>
  <c r="L86" i="15" s="1"/>
  <c r="P16" i="13"/>
  <c r="P31" i="13"/>
  <c r="P42" i="13"/>
  <c r="O42" i="13"/>
  <c r="P44" i="13"/>
  <c r="O44" i="13"/>
  <c r="P56" i="13"/>
  <c r="J19" i="14"/>
  <c r="O6" i="13"/>
  <c r="P6" i="13"/>
  <c r="P4" i="13"/>
  <c r="O4" i="13"/>
  <c r="P15" i="13"/>
  <c r="O29" i="13"/>
  <c r="N29" i="13"/>
  <c r="P29" i="13" s="1"/>
  <c r="P32" i="13"/>
  <c r="O32" i="13"/>
  <c r="P47" i="13"/>
  <c r="O47" i="13"/>
  <c r="J17" i="14"/>
  <c r="L7" i="15"/>
  <c r="L8" i="15" s="1"/>
  <c r="L9" i="15" s="1"/>
  <c r="L10" i="15" s="1"/>
  <c r="L11" i="15" s="1"/>
  <c r="L12" i="15" s="1"/>
  <c r="L13" i="15" s="1"/>
  <c r="L14" i="15" s="1"/>
  <c r="L15" i="15" s="1"/>
  <c r="L16" i="15" s="1"/>
  <c r="L17" i="15" s="1"/>
  <c r="L18" i="15" s="1"/>
  <c r="L19" i="15" s="1"/>
  <c r="L20" i="15" s="1"/>
  <c r="L21" i="15" s="1"/>
  <c r="L22" i="15" s="1"/>
  <c r="L23" i="15" s="1"/>
  <c r="L24" i="15" s="1"/>
  <c r="L25" i="15" s="1"/>
  <c r="L26" i="15" s="1"/>
  <c r="L27" i="15" s="1"/>
  <c r="L93" i="15"/>
  <c r="L94" i="15" s="1"/>
  <c r="L95" i="15" s="1"/>
  <c r="P7" i="13"/>
  <c r="O9" i="13"/>
  <c r="P9" i="13"/>
  <c r="J20" i="14"/>
  <c r="J25" i="14"/>
  <c r="J27" i="14"/>
  <c r="J29" i="14"/>
  <c r="J31" i="14"/>
  <c r="L73" i="15"/>
  <c r="P24" i="13"/>
  <c r="O24" i="13"/>
  <c r="P38" i="13"/>
  <c r="O45" i="13"/>
  <c r="P45" i="13"/>
  <c r="J36" i="14"/>
  <c r="L74" i="15"/>
  <c r="L100" i="15"/>
  <c r="L101" i="15" s="1"/>
  <c r="L102" i="15" s="1"/>
  <c r="L103" i="15" s="1"/>
  <c r="L104" i="15" s="1"/>
  <c r="O5" i="13"/>
  <c r="P18" i="13"/>
  <c r="P20" i="13"/>
  <c r="O20" i="13"/>
  <c r="P22" i="13"/>
  <c r="O22" i="13"/>
  <c r="P41" i="13"/>
  <c r="O41" i="13"/>
  <c r="P53" i="13"/>
  <c r="J18" i="14"/>
  <c r="L30" i="15"/>
  <c r="L31" i="15" s="1"/>
  <c r="L32" i="15" s="1"/>
  <c r="L33" i="15" s="1"/>
  <c r="L34" i="15" s="1"/>
  <c r="L35" i="15" s="1"/>
  <c r="L36" i="15" s="1"/>
  <c r="L37" i="15" s="1"/>
  <c r="L38" i="15" s="1"/>
  <c r="L39" i="15" s="1"/>
  <c r="L40" i="15" s="1"/>
  <c r="L41" i="15" s="1"/>
  <c r="L42" i="15" s="1"/>
  <c r="L43" i="15" s="1"/>
  <c r="L44" i="15" s="1"/>
  <c r="L45" i="15" s="1"/>
  <c r="L46" i="15" s="1"/>
  <c r="L47" i="15" s="1"/>
  <c r="L48" i="15" s="1"/>
  <c r="L49" i="15" s="1"/>
  <c r="L55" i="15"/>
  <c r="L75" i="15"/>
  <c r="L76" i="15" s="1"/>
  <c r="L77" i="15" s="1"/>
  <c r="L82" i="15"/>
  <c r="L83" i="15" s="1"/>
  <c r="O12" i="13"/>
  <c r="P37" i="13"/>
  <c r="O48" i="13"/>
  <c r="O51" i="13"/>
  <c r="P52" i="13"/>
  <c r="O55" i="13"/>
  <c r="P59" i="13"/>
  <c r="P62" i="13"/>
  <c r="P67" i="13"/>
  <c r="O72" i="13"/>
  <c r="P79" i="13"/>
  <c r="Z13" i="14"/>
  <c r="Z14" i="14"/>
  <c r="Z15" i="14"/>
  <c r="L121" i="15"/>
  <c r="L122" i="15" s="1"/>
  <c r="K156" i="15"/>
  <c r="L129" i="15"/>
  <c r="L130" i="15" s="1"/>
  <c r="L131" i="15" s="1"/>
  <c r="L132" i="15" s="1"/>
  <c r="L133" i="15" s="1"/>
  <c r="L134" i="15" s="1"/>
  <c r="L135" i="15" s="1"/>
  <c r="L136" i="15" s="1"/>
  <c r="L137" i="15" s="1"/>
  <c r="L138" i="15" s="1"/>
  <c r="L139" i="15" s="1"/>
  <c r="L140" i="15" s="1"/>
  <c r="L141" i="15" s="1"/>
  <c r="L142" i="15" s="1"/>
  <c r="L143" i="15" s="1"/>
  <c r="L144" i="15" s="1"/>
  <c r="L145" i="15" s="1"/>
  <c r="L146" i="15" s="1"/>
  <c r="L147" i="15" s="1"/>
  <c r="L148" i="15" s="1"/>
  <c r="L149" i="15" s="1"/>
  <c r="K153" i="15"/>
  <c r="K157" i="15"/>
  <c r="K162" i="15"/>
  <c r="K167" i="15"/>
  <c r="L174" i="15"/>
  <c r="L175" i="15" s="1"/>
  <c r="L197" i="15"/>
  <c r="L275" i="15"/>
  <c r="K168" i="15"/>
  <c r="L198" i="15"/>
  <c r="L199" i="15" s="1"/>
  <c r="L200" i="15" s="1"/>
  <c r="L201" i="15" s="1"/>
  <c r="L202" i="15" s="1"/>
  <c r="L203" i="15" s="1"/>
  <c r="L204" i="15" s="1"/>
  <c r="L205" i="15" s="1"/>
  <c r="L206" i="15" s="1"/>
  <c r="L207" i="15" s="1"/>
  <c r="L208" i="15" s="1"/>
  <c r="L209" i="15" s="1"/>
  <c r="L276" i="15"/>
  <c r="L391" i="15"/>
  <c r="L392" i="15" s="1"/>
  <c r="L393" i="15" s="1"/>
  <c r="L394" i="15" s="1"/>
  <c r="L395" i="15" s="1"/>
  <c r="L396" i="15" s="1"/>
  <c r="L397" i="15" s="1"/>
  <c r="L398" i="15" s="1"/>
  <c r="K158" i="15"/>
  <c r="K163" i="15"/>
  <c r="K169" i="15"/>
  <c r="L212" i="15"/>
  <c r="L213" i="15" s="1"/>
  <c r="L243" i="15"/>
  <c r="L244" i="15" s="1"/>
  <c r="L245" i="15" s="1"/>
  <c r="L246" i="15" s="1"/>
  <c r="L247" i="15" s="1"/>
  <c r="L248" i="15" s="1"/>
  <c r="L249" i="15" s="1"/>
  <c r="L250" i="15" s="1"/>
  <c r="L251" i="15" s="1"/>
  <c r="L277" i="15"/>
  <c r="L278" i="15" s="1"/>
  <c r="L279" i="15" s="1"/>
  <c r="L280" i="15" s="1"/>
  <c r="L281" i="15" s="1"/>
  <c r="L282" i="15" s="1"/>
  <c r="L283" i="15" s="1"/>
  <c r="L110" i="15"/>
  <c r="L111" i="15" s="1"/>
  <c r="L112" i="15" s="1"/>
  <c r="L113" i="15" s="1"/>
  <c r="L114" i="15" s="1"/>
  <c r="K164" i="15"/>
  <c r="L329" i="15"/>
  <c r="O15" i="13"/>
  <c r="O19" i="13"/>
  <c r="O23" i="13"/>
  <c r="O28" i="13"/>
  <c r="O35" i="13"/>
  <c r="M56" i="13"/>
  <c r="O56" i="13" s="1"/>
  <c r="O57" i="13"/>
  <c r="O65" i="13"/>
  <c r="O70" i="13"/>
  <c r="O75" i="13"/>
  <c r="F13" i="14"/>
  <c r="F14" i="14"/>
  <c r="F15" i="14"/>
  <c r="G16" i="14"/>
  <c r="G17" i="14"/>
  <c r="G18" i="14"/>
  <c r="G19" i="14"/>
  <c r="G20" i="14"/>
  <c r="G21" i="14"/>
  <c r="G22" i="14"/>
  <c r="G33" i="14"/>
  <c r="G34" i="14"/>
  <c r="G35" i="14"/>
  <c r="G36" i="14"/>
  <c r="G37" i="14"/>
  <c r="L123" i="15"/>
  <c r="L124" i="15" s="1"/>
  <c r="K154" i="15"/>
  <c r="K159" i="15"/>
  <c r="K165" i="15"/>
  <c r="K170" i="15"/>
  <c r="O18" i="13"/>
  <c r="O27" i="13"/>
  <c r="O31" i="13"/>
  <c r="O38" i="13"/>
  <c r="O77" i="13"/>
  <c r="J32" i="14"/>
  <c r="K152" i="15"/>
  <c r="L152" i="15" s="1"/>
  <c r="K160" i="15"/>
  <c r="L176" i="15"/>
  <c r="L177" i="15" s="1"/>
  <c r="L178" i="15" s="1"/>
  <c r="L179" i="15" s="1"/>
  <c r="L180" i="15" s="1"/>
  <c r="L181" i="15" s="1"/>
  <c r="L182" i="15" s="1"/>
  <c r="L183" i="15" s="1"/>
  <c r="L184" i="15" s="1"/>
  <c r="L185" i="15" s="1"/>
  <c r="L186" i="15" s="1"/>
  <c r="L187" i="15" s="1"/>
  <c r="L188" i="15" s="1"/>
  <c r="L189" i="15" s="1"/>
  <c r="L190" i="15" s="1"/>
  <c r="L191" i="15" s="1"/>
  <c r="L192" i="15" s="1"/>
  <c r="L193" i="15" s="1"/>
  <c r="L194" i="15" s="1"/>
  <c r="L196" i="15"/>
  <c r="L223" i="15"/>
  <c r="L224" i="15" s="1"/>
  <c r="L225" i="15" s="1"/>
  <c r="L226" i="15" s="1"/>
  <c r="L227" i="15" s="1"/>
  <c r="L228" i="15" s="1"/>
  <c r="L229" i="15" s="1"/>
  <c r="L230" i="15" s="1"/>
  <c r="L330" i="15"/>
  <c r="L331" i="15" s="1"/>
  <c r="L332" i="15" s="1"/>
  <c r="L333" i="15" s="1"/>
  <c r="L334" i="15" s="1"/>
  <c r="L335" i="15" s="1"/>
  <c r="L347" i="15"/>
  <c r="L348" i="15" s="1"/>
  <c r="L349" i="15" s="1"/>
  <c r="L350" i="15" s="1"/>
  <c r="L351" i="15" s="1"/>
  <c r="L128" i="15"/>
  <c r="K155" i="15"/>
  <c r="K161" i="15"/>
  <c r="K166" i="15"/>
  <c r="L214" i="15"/>
  <c r="L215" i="15" s="1"/>
  <c r="L216" i="15" s="1"/>
  <c r="L217" i="15" s="1"/>
  <c r="L218" i="15" s="1"/>
  <c r="L219" i="15" s="1"/>
  <c r="L235" i="15"/>
  <c r="L236" i="15" s="1"/>
  <c r="L237" i="15" s="1"/>
  <c r="L238" i="15" s="1"/>
  <c r="L259" i="15"/>
  <c r="L260" i="15" s="1"/>
  <c r="L261" i="15" s="1"/>
  <c r="L262" i="15" s="1"/>
  <c r="L263" i="15" s="1"/>
  <c r="L264" i="15" s="1"/>
  <c r="L265" i="15" s="1"/>
  <c r="L266" i="15" s="1"/>
  <c r="L267" i="15" s="1"/>
  <c r="L268" i="15" s="1"/>
  <c r="L269" i="15" s="1"/>
  <c r="L270" i="15" s="1"/>
  <c r="L271" i="15" s="1"/>
  <c r="L272" i="15" s="1"/>
  <c r="L287" i="15"/>
  <c r="L288" i="15" s="1"/>
  <c r="L289" i="15" s="1"/>
  <c r="L290" i="15" s="1"/>
  <c r="L291" i="15" s="1"/>
  <c r="L292" i="15" s="1"/>
  <c r="L293" i="15" s="1"/>
  <c r="L294" i="15" s="1"/>
  <c r="L295" i="15" s="1"/>
  <c r="L296" i="15" s="1"/>
  <c r="L297" i="15" s="1"/>
  <c r="L298" i="15" s="1"/>
  <c r="L299" i="15" s="1"/>
  <c r="L300" i="15" s="1"/>
  <c r="L301" i="15" s="1"/>
  <c r="L302" i="15" s="1"/>
  <c r="L303" i="15" s="1"/>
  <c r="L304" i="15" s="1"/>
  <c r="L305" i="15" s="1"/>
  <c r="L306" i="15" s="1"/>
  <c r="L307" i="15" s="1"/>
  <c r="L308" i="15" s="1"/>
  <c r="L309" i="15" s="1"/>
  <c r="L310" i="15" s="1"/>
  <c r="L311" i="15" s="1"/>
  <c r="L312" i="15" s="1"/>
  <c r="L313" i="15" s="1"/>
  <c r="L314" i="15" s="1"/>
  <c r="L315" i="15" s="1"/>
  <c r="L316" i="15" s="1"/>
  <c r="L317" i="15" s="1"/>
  <c r="L318" i="15" s="1"/>
  <c r="L319" i="15" s="1"/>
  <c r="L320" i="15" s="1"/>
  <c r="L321" i="15" s="1"/>
  <c r="L322" i="15" s="1"/>
  <c r="L323" i="15" s="1"/>
  <c r="L324" i="15" s="1"/>
  <c r="L325" i="15" s="1"/>
  <c r="L326" i="15" s="1"/>
  <c r="L346" i="15"/>
  <c r="L361" i="15"/>
  <c r="L362" i="15" s="1"/>
  <c r="L363" i="15" s="1"/>
  <c r="L364" i="15" s="1"/>
  <c r="L365" i="15" s="1"/>
  <c r="L366" i="15" s="1"/>
  <c r="L367" i="15" s="1"/>
  <c r="L368" i="15" s="1"/>
  <c r="L369" i="15" s="1"/>
  <c r="L370" i="15" s="1"/>
  <c r="L371" i="15" s="1"/>
  <c r="L372" i="15" s="1"/>
  <c r="L380" i="15"/>
  <c r="L381" i="15" s="1"/>
  <c r="L382" i="15" s="1"/>
  <c r="L383" i="15" s="1"/>
  <c r="L384" i="15" s="1"/>
  <c r="E386" i="15"/>
  <c r="K386" i="15" s="1"/>
  <c r="L386" i="15" s="1"/>
  <c r="L390" i="15"/>
  <c r="L357" i="15"/>
  <c r="L358" i="15" s="1"/>
  <c r="L359" i="15" s="1"/>
  <c r="L360" i="15" s="1"/>
  <c r="L404" i="15"/>
  <c r="L515" i="15"/>
  <c r="L516" i="15"/>
  <c r="L517" i="15" s="1"/>
  <c r="L518" i="15" s="1"/>
  <c r="L519" i="15" s="1"/>
  <c r="L520" i="15" s="1"/>
  <c r="L521" i="15" s="1"/>
  <c r="L522" i="15" s="1"/>
  <c r="L523" i="15" s="1"/>
  <c r="L524" i="15" s="1"/>
  <c r="L525" i="15" s="1"/>
  <c r="L526" i="15" s="1"/>
  <c r="L527" i="15" s="1"/>
  <c r="L528" i="15" s="1"/>
  <c r="L529" i="15" s="1"/>
  <c r="L530" i="15" s="1"/>
  <c r="L531" i="15" s="1"/>
  <c r="G584" i="15"/>
  <c r="K584" i="15" s="1"/>
  <c r="L584" i="15" s="1"/>
  <c r="L585" i="15" s="1"/>
  <c r="L586" i="15" s="1"/>
  <c r="L587" i="15" s="1"/>
  <c r="L409" i="15"/>
  <c r="L410" i="15" s="1"/>
  <c r="L411" i="15" s="1"/>
  <c r="L412" i="15" s="1"/>
  <c r="L413" i="15" s="1"/>
  <c r="L414" i="15" s="1"/>
  <c r="L415" i="15" s="1"/>
  <c r="L416" i="15" s="1"/>
  <c r="L417" i="15" s="1"/>
  <c r="L418" i="15" s="1"/>
  <c r="L419" i="15" s="1"/>
  <c r="L420" i="15" s="1"/>
  <c r="L421" i="15" s="1"/>
  <c r="L422" i="15" s="1"/>
  <c r="L423" i="15" s="1"/>
  <c r="L424" i="15" s="1"/>
  <c r="L425" i="15" s="1"/>
  <c r="L455" i="15"/>
  <c r="K488" i="15"/>
  <c r="L488" i="15" s="1"/>
  <c r="G488" i="15"/>
  <c r="F488" i="15"/>
  <c r="F492" i="15"/>
  <c r="F496" i="15"/>
  <c r="F500" i="15"/>
  <c r="G500" i="15" s="1"/>
  <c r="K500" i="15" s="1"/>
  <c r="L456" i="15"/>
  <c r="L457" i="15" s="1"/>
  <c r="L458" i="15" s="1"/>
  <c r="L459" i="15" s="1"/>
  <c r="L460" i="15" s="1"/>
  <c r="L461" i="15" s="1"/>
  <c r="L462" i="15" s="1"/>
  <c r="L463" i="15" s="1"/>
  <c r="L464" i="15" s="1"/>
  <c r="L465" i="15" s="1"/>
  <c r="L466" i="15" s="1"/>
  <c r="L467" i="15" s="1"/>
  <c r="L468" i="15" s="1"/>
  <c r="L469" i="15" s="1"/>
  <c r="L470" i="15" s="1"/>
  <c r="L471" i="15" s="1"/>
  <c r="L472" i="15" s="1"/>
  <c r="K489" i="15"/>
  <c r="K501" i="15"/>
  <c r="L447" i="15"/>
  <c r="L448" i="15" s="1"/>
  <c r="L449" i="15" s="1"/>
  <c r="L450" i="15" s="1"/>
  <c r="L451" i="15" s="1"/>
  <c r="L477" i="15"/>
  <c r="L478" i="15" s="1"/>
  <c r="L479" i="15" s="1"/>
  <c r="L480" i="15" s="1"/>
  <c r="L481" i="15" s="1"/>
  <c r="L482" i="15" s="1"/>
  <c r="L483" i="15" s="1"/>
  <c r="L484" i="15" s="1"/>
  <c r="L485" i="15" s="1"/>
  <c r="L486" i="15" s="1"/>
  <c r="L487" i="15" s="1"/>
  <c r="G489" i="15"/>
  <c r="G493" i="15"/>
  <c r="K493" i="15" s="1"/>
  <c r="G497" i="15"/>
  <c r="K497" i="15" s="1"/>
  <c r="G501" i="15"/>
  <c r="L512" i="15"/>
  <c r="L651" i="15"/>
  <c r="L652" i="15" s="1"/>
  <c r="F503" i="15"/>
  <c r="K503" i="15" s="1"/>
  <c r="F506" i="15"/>
  <c r="L573" i="15"/>
  <c r="L574" i="15" s="1"/>
  <c r="G592" i="15"/>
  <c r="K592" i="15" s="1"/>
  <c r="L592" i="15" s="1"/>
  <c r="L593" i="15" s="1"/>
  <c r="L594" i="15" s="1"/>
  <c r="L595" i="15" s="1"/>
  <c r="L692" i="15"/>
  <c r="F491" i="15"/>
  <c r="F495" i="15"/>
  <c r="F499" i="15"/>
  <c r="G499" i="15" s="1"/>
  <c r="K499" i="15" s="1"/>
  <c r="G503" i="15"/>
  <c r="L556" i="15"/>
  <c r="L557" i="15" s="1"/>
  <c r="L558" i="15" s="1"/>
  <c r="L559" i="15" s="1"/>
  <c r="L560" i="15" s="1"/>
  <c r="L561" i="15" s="1"/>
  <c r="L562" i="15" s="1"/>
  <c r="L563" i="15" s="1"/>
  <c r="L564" i="15" s="1"/>
  <c r="L565" i="15" s="1"/>
  <c r="L566" i="15" s="1"/>
  <c r="L567" i="15" s="1"/>
  <c r="L568" i="15" s="1"/>
  <c r="L569" i="15" s="1"/>
  <c r="L570" i="15" s="1"/>
  <c r="K596" i="15"/>
  <c r="L653" i="15"/>
  <c r="L654" i="15" s="1"/>
  <c r="L655" i="15" s="1"/>
  <c r="L656" i="15" s="1"/>
  <c r="L657" i="15" s="1"/>
  <c r="L658" i="15" s="1"/>
  <c r="L659" i="15" s="1"/>
  <c r="L660" i="15" s="1"/>
  <c r="L661" i="15" s="1"/>
  <c r="L662" i="15" s="1"/>
  <c r="L663" i="15" s="1"/>
  <c r="L664" i="15" s="1"/>
  <c r="L665" i="15" s="1"/>
  <c r="L666" i="15" s="1"/>
  <c r="L669" i="15"/>
  <c r="L670" i="15" s="1"/>
  <c r="L671" i="15" s="1"/>
  <c r="L672" i="15" s="1"/>
  <c r="L673" i="15" s="1"/>
  <c r="L674" i="15" s="1"/>
  <c r="L675" i="15" s="1"/>
  <c r="L676" i="15" s="1"/>
  <c r="L677" i="15" s="1"/>
  <c r="L678" i="15" s="1"/>
  <c r="L679" i="15" s="1"/>
  <c r="L680" i="15" s="1"/>
  <c r="L681" i="15" s="1"/>
  <c r="L682" i="15" s="1"/>
  <c r="L683" i="15" s="1"/>
  <c r="L684" i="15" s="1"/>
  <c r="L685" i="15" s="1"/>
  <c r="L686" i="15" s="1"/>
  <c r="L687" i="15" s="1"/>
  <c r="L688" i="15" s="1"/>
  <c r="L689" i="15" s="1"/>
  <c r="G491" i="15"/>
  <c r="K491" i="15" s="1"/>
  <c r="G495" i="15"/>
  <c r="K495" i="15" s="1"/>
  <c r="K505" i="15"/>
  <c r="L605" i="15"/>
  <c r="L606" i="15" s="1"/>
  <c r="L607" i="15" s="1"/>
  <c r="L608" i="15" s="1"/>
  <c r="L609" i="15" s="1"/>
  <c r="L610" i="15" s="1"/>
  <c r="L611" i="15" s="1"/>
  <c r="L612" i="15" s="1"/>
  <c r="L613" i="15" s="1"/>
  <c r="L614" i="15" s="1"/>
  <c r="L615" i="15" s="1"/>
  <c r="L616" i="15" s="1"/>
  <c r="L617" i="15" s="1"/>
  <c r="L618" i="15" s="1"/>
  <c r="L619" i="15" s="1"/>
  <c r="L620" i="15" s="1"/>
  <c r="L621" i="15" s="1"/>
  <c r="L622" i="15" s="1"/>
  <c r="L623" i="15" s="1"/>
  <c r="L624" i="15" s="1"/>
  <c r="L625" i="15" s="1"/>
  <c r="L626" i="15" s="1"/>
  <c r="L627" i="15" s="1"/>
  <c r="L628" i="15" s="1"/>
  <c r="L629" i="15" s="1"/>
  <c r="L630" i="15" s="1"/>
  <c r="L631" i="15" s="1"/>
  <c r="L632" i="15" s="1"/>
  <c r="L633" i="15" s="1"/>
  <c r="L634" i="15" s="1"/>
  <c r="L635" i="15" s="1"/>
  <c r="L636" i="15" s="1"/>
  <c r="L637" i="15" s="1"/>
  <c r="L638" i="15" s="1"/>
  <c r="L639" i="15" s="1"/>
  <c r="L640" i="15" s="1"/>
  <c r="L641" i="15" s="1"/>
  <c r="L642" i="15" s="1"/>
  <c r="L647" i="15"/>
  <c r="L648" i="15" s="1"/>
  <c r="L649" i="15" s="1"/>
  <c r="L650" i="15" s="1"/>
  <c r="L720" i="15"/>
  <c r="L537" i="15"/>
  <c r="L538" i="15" s="1"/>
  <c r="L539" i="15" s="1"/>
  <c r="L540" i="15" s="1"/>
  <c r="L541" i="15" s="1"/>
  <c r="L542" i="15" s="1"/>
  <c r="L543" i="15" s="1"/>
  <c r="L544" i="15" s="1"/>
  <c r="L545" i="15" s="1"/>
  <c r="L546" i="15" s="1"/>
  <c r="L547" i="15" s="1"/>
  <c r="L548" i="15" s="1"/>
  <c r="L549" i="15" s="1"/>
  <c r="L550" i="15" s="1"/>
  <c r="L575" i="15"/>
  <c r="L576" i="15" s="1"/>
  <c r="L577" i="15" s="1"/>
  <c r="L578" i="15" s="1"/>
  <c r="K580" i="15"/>
  <c r="L580" i="15" s="1"/>
  <c r="L581" i="15" s="1"/>
  <c r="L582" i="15" s="1"/>
  <c r="L583" i="15" s="1"/>
  <c r="G580" i="15"/>
  <c r="L721" i="15"/>
  <c r="L722" i="15" s="1"/>
  <c r="L723" i="15" s="1"/>
  <c r="L724" i="15" s="1"/>
  <c r="L725" i="15" s="1"/>
  <c r="L726" i="15" s="1"/>
  <c r="L727" i="15" s="1"/>
  <c r="L728" i="15" s="1"/>
  <c r="L729" i="15" s="1"/>
  <c r="L730" i="15" s="1"/>
  <c r="L731" i="15" s="1"/>
  <c r="L732" i="15" s="1"/>
  <c r="L733" i="15" s="1"/>
  <c r="L734" i="15" s="1"/>
  <c r="L735" i="15" s="1"/>
  <c r="L736" i="15" s="1"/>
  <c r="L737" i="15" s="1"/>
  <c r="L738" i="15" s="1"/>
  <c r="L739" i="15" s="1"/>
  <c r="L740" i="15" s="1"/>
  <c r="L741" i="15" s="1"/>
  <c r="L742" i="15" s="1"/>
  <c r="L743" i="15" s="1"/>
  <c r="L744" i="15" s="1"/>
  <c r="L745" i="15" s="1"/>
  <c r="L746" i="15" s="1"/>
  <c r="L747" i="15" s="1"/>
  <c r="L748" i="15" s="1"/>
  <c r="L749" i="15" s="1"/>
  <c r="L750" i="15" s="1"/>
  <c r="L751" i="15" s="1"/>
  <c r="L752" i="15" s="1"/>
  <c r="L782" i="15"/>
  <c r="L795" i="15"/>
  <c r="O12" i="17"/>
  <c r="P12" i="17" s="1"/>
  <c r="N12" i="17"/>
  <c r="N19" i="17"/>
  <c r="O19" i="17"/>
  <c r="P19" i="17" s="1"/>
  <c r="L783" i="15"/>
  <c r="L796" i="15"/>
  <c r="L797" i="15" s="1"/>
  <c r="L798" i="15" s="1"/>
  <c r="L799" i="15" s="1"/>
  <c r="L800" i="15" s="1"/>
  <c r="L801" i="15" s="1"/>
  <c r="L802" i="15" s="1"/>
  <c r="L803" i="15" s="1"/>
  <c r="L804" i="15" s="1"/>
  <c r="L805" i="15" s="1"/>
  <c r="L806" i="15" s="1"/>
  <c r="L807" i="15" s="1"/>
  <c r="L808" i="15" s="1"/>
  <c r="L809" i="15" s="1"/>
  <c r="L810" i="15" s="1"/>
  <c r="L811" i="15" s="1"/>
  <c r="L812" i="15" s="1"/>
  <c r="L813" i="15" s="1"/>
  <c r="L814" i="15" s="1"/>
  <c r="L815" i="15" s="1"/>
  <c r="L816" i="15" s="1"/>
  <c r="L817" i="15" s="1"/>
  <c r="L818" i="15" s="1"/>
  <c r="L819" i="15" s="1"/>
  <c r="L820" i="15" s="1"/>
  <c r="L821" i="15" s="1"/>
  <c r="L842" i="15"/>
  <c r="L843" i="15" s="1"/>
  <c r="L844" i="15" s="1"/>
  <c r="L845" i="15" s="1"/>
  <c r="L846" i="15" s="1"/>
  <c r="L847" i="15" s="1"/>
  <c r="L848" i="15" s="1"/>
  <c r="L849" i="15" s="1"/>
  <c r="L756" i="15"/>
  <c r="L757" i="15" s="1"/>
  <c r="D785" i="15"/>
  <c r="D783" i="15"/>
  <c r="D781" i="15"/>
  <c r="D784" i="15"/>
  <c r="L877" i="15"/>
  <c r="L878" i="15" s="1"/>
  <c r="L889" i="15"/>
  <c r="L945" i="15"/>
  <c r="L946" i="15" s="1"/>
  <c r="L824" i="15"/>
  <c r="L825" i="15" s="1"/>
  <c r="L855" i="15"/>
  <c r="L856" i="15" s="1"/>
  <c r="L7" i="20"/>
  <c r="L8" i="20" s="1"/>
  <c r="L9" i="20" s="1"/>
  <c r="L10" i="20" s="1"/>
  <c r="L11" i="20" s="1"/>
  <c r="L12" i="20" s="1"/>
  <c r="L13" i="20" s="1"/>
  <c r="L14" i="20" s="1"/>
  <c r="L15" i="20" s="1"/>
  <c r="L16" i="20" s="1"/>
  <c r="L17" i="20" s="1"/>
  <c r="L18" i="20" s="1"/>
  <c r="L19" i="20" s="1"/>
  <c r="G588" i="15"/>
  <c r="K588" i="15" s="1"/>
  <c r="L588" i="15" s="1"/>
  <c r="L589" i="15" s="1"/>
  <c r="L590" i="15" s="1"/>
  <c r="L591" i="15" s="1"/>
  <c r="G596" i="15"/>
  <c r="L784" i="15"/>
  <c r="L830" i="15"/>
  <c r="N11" i="17"/>
  <c r="O11" i="17"/>
  <c r="P11" i="17" s="1"/>
  <c r="L758" i="15"/>
  <c r="L759" i="15" s="1"/>
  <c r="L781" i="15"/>
  <c r="L785" i="15"/>
  <c r="L868" i="15"/>
  <c r="L869" i="15" s="1"/>
  <c r="L870" i="15" s="1"/>
  <c r="L871" i="15" s="1"/>
  <c r="L872" i="15" s="1"/>
  <c r="L873" i="15" s="1"/>
  <c r="L693" i="15"/>
  <c r="L694" i="15" s="1"/>
  <c r="L695" i="15" s="1"/>
  <c r="L696" i="15" s="1"/>
  <c r="L697" i="15" s="1"/>
  <c r="L698" i="15" s="1"/>
  <c r="L699" i="15" s="1"/>
  <c r="L700" i="15" s="1"/>
  <c r="L701" i="15" s="1"/>
  <c r="L702" i="15" s="1"/>
  <c r="L703" i="15" s="1"/>
  <c r="L704" i="15" s="1"/>
  <c r="L705" i="15" s="1"/>
  <c r="L706" i="15" s="1"/>
  <c r="L707" i="15" s="1"/>
  <c r="L708" i="15" s="1"/>
  <c r="L709" i="15" s="1"/>
  <c r="L710" i="15" s="1"/>
  <c r="L711" i="15" s="1"/>
  <c r="L712" i="15" s="1"/>
  <c r="L713" i="15" s="1"/>
  <c r="L714" i="15" s="1"/>
  <c r="L715" i="15" s="1"/>
  <c r="L716" i="15" s="1"/>
  <c r="L717" i="15" s="1"/>
  <c r="D782" i="15"/>
  <c r="L831" i="15"/>
  <c r="L832" i="15" s="1"/>
  <c r="L833" i="15" s="1"/>
  <c r="L834" i="15" s="1"/>
  <c r="L835" i="15" s="1"/>
  <c r="L836" i="15" s="1"/>
  <c r="L837" i="15" s="1"/>
  <c r="L838" i="15" s="1"/>
  <c r="L839" i="15" s="1"/>
  <c r="L840" i="15" s="1"/>
  <c r="L989" i="15"/>
  <c r="L990" i="15" s="1"/>
  <c r="T5" i="16"/>
  <c r="S5" i="16"/>
  <c r="R5" i="16"/>
  <c r="Q5" i="16"/>
  <c r="F7" i="19"/>
  <c r="E7" i="19"/>
  <c r="F8" i="19"/>
  <c r="L791" i="15"/>
  <c r="L792" i="15" s="1"/>
  <c r="L793" i="15" s="1"/>
  <c r="L794" i="15" s="1"/>
  <c r="L947" i="15"/>
  <c r="L948" i="15" s="1"/>
  <c r="L949" i="15" s="1"/>
  <c r="L950" i="15" s="1"/>
  <c r="N28" i="17"/>
  <c r="O28" i="17"/>
  <c r="P28" i="17" s="1"/>
  <c r="L879" i="15"/>
  <c r="L880" i="15" s="1"/>
  <c r="L881" i="15" s="1"/>
  <c r="L882" i="15" s="1"/>
  <c r="L883" i="15" s="1"/>
  <c r="L884" i="15" s="1"/>
  <c r="L885" i="15" s="1"/>
  <c r="O7" i="16"/>
  <c r="L7" i="16"/>
  <c r="Q4" i="16"/>
  <c r="T4" i="16"/>
  <c r="S4" i="16"/>
  <c r="F4" i="19"/>
  <c r="E4" i="19"/>
  <c r="L951" i="15"/>
  <c r="L952" i="15" s="1"/>
  <c r="L953" i="15" s="1"/>
  <c r="L954" i="15" s="1"/>
  <c r="L955" i="15" s="1"/>
  <c r="L956" i="15" s="1"/>
  <c r="L957" i="15" s="1"/>
  <c r="L958" i="15" s="1"/>
  <c r="L959" i="15" s="1"/>
  <c r="L960" i="15" s="1"/>
  <c r="L961" i="15" s="1"/>
  <c r="L962" i="15" s="1"/>
  <c r="L963" i="15" s="1"/>
  <c r="L966" i="15"/>
  <c r="L967" i="15" s="1"/>
  <c r="L968" i="15" s="1"/>
  <c r="L969" i="15" s="1"/>
  <c r="L991" i="15"/>
  <c r="L992" i="15" s="1"/>
  <c r="L993" i="15" s="1"/>
  <c r="L994" i="15" s="1"/>
  <c r="L995" i="15" s="1"/>
  <c r="L996" i="15" s="1"/>
  <c r="L997" i="15" s="1"/>
  <c r="L998" i="15" s="1"/>
  <c r="L999" i="15" s="1"/>
  <c r="L1000" i="15" s="1"/>
  <c r="L1001" i="15" s="1"/>
  <c r="L1002" i="15" s="1"/>
  <c r="L1003" i="15" s="1"/>
  <c r="L1004" i="15" s="1"/>
  <c r="L1005" i="15" s="1"/>
  <c r="L1006" i="15" s="1"/>
  <c r="L1007" i="15" s="1"/>
  <c r="L1008" i="15" s="1"/>
  <c r="L1009" i="15" s="1"/>
  <c r="L1016" i="15"/>
  <c r="R4" i="16"/>
  <c r="F5" i="19"/>
  <c r="L898" i="15"/>
  <c r="L899" i="15" s="1"/>
  <c r="L900" i="15" s="1"/>
  <c r="L901" i="15" s="1"/>
  <c r="L902" i="15" s="1"/>
  <c r="L903" i="15" s="1"/>
  <c r="L904" i="15" s="1"/>
  <c r="L905" i="15" s="1"/>
  <c r="L1017" i="15"/>
  <c r="N10" i="17"/>
  <c r="O10" i="17"/>
  <c r="P10" i="17" s="1"/>
  <c r="O24" i="17"/>
  <c r="P24" i="17" s="1"/>
  <c r="N24" i="17"/>
  <c r="L767" i="15"/>
  <c r="L768" i="15" s="1"/>
  <c r="L769" i="15" s="1"/>
  <c r="L770" i="15" s="1"/>
  <c r="L771" i="15" s="1"/>
  <c r="L772" i="15" s="1"/>
  <c r="L773" i="15" s="1"/>
  <c r="L774" i="15" s="1"/>
  <c r="L775" i="15" s="1"/>
  <c r="L776" i="15" s="1"/>
  <c r="L777" i="15" s="1"/>
  <c r="L970" i="15"/>
  <c r="L971" i="15" s="1"/>
  <c r="L972" i="15" s="1"/>
  <c r="L973" i="15" s="1"/>
  <c r="L974" i="15" s="1"/>
  <c r="L975" i="15" s="1"/>
  <c r="L976" i="15" s="1"/>
  <c r="L977" i="15" s="1"/>
  <c r="L978" i="15" s="1"/>
  <c r="L979" i="15" s="1"/>
  <c r="L980" i="15" s="1"/>
  <c r="L981" i="15" s="1"/>
  <c r="L982" i="15" s="1"/>
  <c r="L983" i="15" s="1"/>
  <c r="L984" i="15" s="1"/>
  <c r="L985" i="15" s="1"/>
  <c r="L986" i="15" s="1"/>
  <c r="L1018" i="15"/>
  <c r="L1019" i="15" s="1"/>
  <c r="L1020" i="15" s="1"/>
  <c r="L1021" i="15" s="1"/>
  <c r="L1022" i="15" s="1"/>
  <c r="L1023" i="15" s="1"/>
  <c r="L1024" i="15" s="1"/>
  <c r="L1025" i="15" s="1"/>
  <c r="L1026" i="15" s="1"/>
  <c r="L1027" i="15" s="1"/>
  <c r="L1028" i="15" s="1"/>
  <c r="L1029" i="15" s="1"/>
  <c r="L1030" i="15" s="1"/>
  <c r="L1031" i="15" s="1"/>
  <c r="L1032" i="15" s="1"/>
  <c r="L1033" i="15" s="1"/>
  <c r="L1034" i="15" s="1"/>
  <c r="L1035" i="15" s="1"/>
  <c r="L1036" i="15" s="1"/>
  <c r="L1037" i="15" s="1"/>
  <c r="L1038" i="15" s="1"/>
  <c r="L1039" i="15" s="1"/>
  <c r="L1040" i="15" s="1"/>
  <c r="L1041" i="15" s="1"/>
  <c r="L1042" i="15" s="1"/>
  <c r="L1043" i="15" s="1"/>
  <c r="M27" i="17"/>
  <c r="N7" i="17"/>
  <c r="P7" i="17" s="1"/>
  <c r="O14" i="17"/>
  <c r="P14" i="17" s="1"/>
  <c r="O22" i="17"/>
  <c r="P22" i="17" s="1"/>
  <c r="O23" i="17"/>
  <c r="P23" i="17" s="1"/>
  <c r="N26" i="17"/>
  <c r="O26" i="17"/>
  <c r="P26" i="17" s="1"/>
  <c r="L6" i="20"/>
  <c r="L895" i="15"/>
  <c r="N15" i="17"/>
  <c r="O15" i="17"/>
  <c r="P15" i="17" s="1"/>
  <c r="O20" i="17"/>
  <c r="P20" i="17" s="1"/>
  <c r="N20" i="17"/>
  <c r="O16" i="17"/>
  <c r="P16" i="17" s="1"/>
  <c r="N16" i="17"/>
  <c r="G9" i="19"/>
  <c r="D9" i="19"/>
  <c r="E9" i="19" s="1"/>
  <c r="P31" i="21"/>
  <c r="M35" i="21"/>
  <c r="O35" i="21" s="1"/>
  <c r="Q35" i="21"/>
  <c r="P35" i="21" s="1"/>
  <c r="O13" i="17"/>
  <c r="P13" i="17" s="1"/>
  <c r="P39" i="21"/>
  <c r="O39" i="21"/>
  <c r="M42" i="21"/>
  <c r="O42" i="21" s="1"/>
  <c r="Q42" i="21"/>
  <c r="P42" i="21" s="1"/>
  <c r="B6" i="16"/>
  <c r="R6" i="16" s="1"/>
  <c r="B10" i="16"/>
  <c r="R10" i="16" s="1"/>
  <c r="O9" i="17"/>
  <c r="P25" i="17"/>
  <c r="G10" i="19"/>
  <c r="I14" i="19"/>
  <c r="P30" i="21"/>
  <c r="P54" i="21"/>
  <c r="P79" i="21"/>
  <c r="O79" i="21"/>
  <c r="P66" i="21"/>
  <c r="P13" i="21"/>
  <c r="P29" i="21"/>
  <c r="O29" i="21"/>
  <c r="Q45" i="21"/>
  <c r="P45" i="21" s="1"/>
  <c r="M45" i="21"/>
  <c r="O45" i="21" s="1"/>
  <c r="K9" i="16"/>
  <c r="R9" i="16"/>
  <c r="O17" i="17"/>
  <c r="P17" i="17" s="1"/>
  <c r="O18" i="17"/>
  <c r="P18" i="17" s="1"/>
  <c r="Q4" i="21"/>
  <c r="P4" i="21" s="1"/>
  <c r="M4" i="21"/>
  <c r="O4" i="21" s="1"/>
  <c r="P18" i="21"/>
  <c r="P53" i="21"/>
  <c r="P61" i="21"/>
  <c r="O61" i="21"/>
  <c r="O8" i="16"/>
  <c r="K10" i="16"/>
  <c r="O10" i="16" s="1"/>
  <c r="T10" i="16"/>
  <c r="Q7" i="21"/>
  <c r="P7" i="21" s="1"/>
  <c r="Q9" i="21"/>
  <c r="P9" i="21" s="1"/>
  <c r="Q20" i="21"/>
  <c r="P20" i="21" s="1"/>
  <c r="Q26" i="21"/>
  <c r="P26" i="21" s="1"/>
  <c r="Q27" i="21"/>
  <c r="P27" i="21" s="1"/>
  <c r="Q51" i="21"/>
  <c r="P51" i="21" s="1"/>
  <c r="N7" i="16"/>
  <c r="N4" i="16"/>
  <c r="N10" i="16"/>
  <c r="K8" i="16"/>
  <c r="E17" i="19"/>
  <c r="F17" i="19" s="1"/>
  <c r="J13" i="14" l="1"/>
  <c r="N3" i="20"/>
  <c r="N2" i="20"/>
  <c r="L491" i="15"/>
  <c r="G496" i="15"/>
  <c r="K496" i="15" s="1"/>
  <c r="L153" i="15"/>
  <c r="D294" i="10"/>
  <c r="D295" i="10" s="1"/>
  <c r="D296" i="10" s="1"/>
  <c r="D297" i="10" s="1"/>
  <c r="D298" i="10" s="1"/>
  <c r="D299" i="10" s="1"/>
  <c r="D300" i="10" s="1"/>
  <c r="D293" i="10"/>
  <c r="D320" i="10"/>
  <c r="D321" i="10" s="1"/>
  <c r="D322" i="10" s="1"/>
  <c r="D323" i="10" s="1"/>
  <c r="D324" i="10" s="1"/>
  <c r="D325" i="10" s="1"/>
  <c r="D326" i="10" s="1"/>
  <c r="D319" i="10"/>
  <c r="S8" i="16"/>
  <c r="L8" i="16"/>
  <c r="L9" i="16"/>
  <c r="S9" i="16"/>
  <c r="O9" i="16"/>
  <c r="G506" i="15"/>
  <c r="K506" i="15" s="1"/>
  <c r="J14" i="14"/>
  <c r="L489" i="15"/>
  <c r="L490" i="15" s="1"/>
  <c r="D715" i="10"/>
  <c r="D716" i="10" s="1"/>
  <c r="D717" i="10" s="1"/>
  <c r="D718" i="10" s="1"/>
  <c r="D714" i="10"/>
  <c r="L769" i="10"/>
  <c r="L770" i="10"/>
  <c r="G492" i="15"/>
  <c r="K492" i="15" s="1"/>
  <c r="L492" i="15" s="1"/>
  <c r="L493" i="15" s="1"/>
  <c r="L494" i="15" s="1"/>
  <c r="L495" i="15" s="1"/>
  <c r="J15" i="14"/>
  <c r="O27" i="17"/>
  <c r="P27" i="17" s="1"/>
  <c r="N27" i="17"/>
  <c r="L155" i="15"/>
  <c r="L156" i="15" s="1"/>
  <c r="L157" i="15" s="1"/>
  <c r="L158" i="15" s="1"/>
  <c r="L159" i="15" s="1"/>
  <c r="L160" i="15" s="1"/>
  <c r="L161" i="15" s="1"/>
  <c r="L162" i="15" s="1"/>
  <c r="L163" i="15" s="1"/>
  <c r="L164" i="15" s="1"/>
  <c r="L165" i="15" s="1"/>
  <c r="L166" i="15" s="1"/>
  <c r="L167" i="15" s="1"/>
  <c r="L168" i="15" s="1"/>
  <c r="L169" i="15" s="1"/>
  <c r="L170" i="15" s="1"/>
  <c r="L154" i="15"/>
  <c r="K6" i="16"/>
  <c r="L10" i="16"/>
  <c r="S10" i="16"/>
  <c r="D980" i="10"/>
  <c r="D981" i="10" s="1"/>
  <c r="D979" i="10"/>
  <c r="D694" i="10"/>
  <c r="D695" i="10" s="1"/>
  <c r="D696" i="10" s="1"/>
  <c r="D697" i="10" s="1"/>
  <c r="D693" i="10"/>
  <c r="D95" i="10"/>
  <c r="D97" i="10"/>
  <c r="D98" i="10" s="1"/>
  <c r="D99" i="10" s="1"/>
  <c r="D100" i="10" s="1"/>
  <c r="D101" i="10" s="1"/>
  <c r="D102" i="10" s="1"/>
  <c r="D103" i="10" s="1"/>
  <c r="D104" i="10" s="1"/>
  <c r="D105" i="10" s="1"/>
  <c r="D106" i="10" s="1"/>
  <c r="D107" i="10" s="1"/>
  <c r="D108" i="10" s="1"/>
  <c r="D96" i="10"/>
  <c r="D671" i="10"/>
  <c r="D670" i="10"/>
  <c r="L596" i="15"/>
  <c r="L597" i="15" s="1"/>
  <c r="L598" i="15" s="1"/>
  <c r="L599" i="15" s="1"/>
  <c r="L861" i="10"/>
  <c r="L862" i="10" s="1"/>
  <c r="L863" i="10" s="1"/>
  <c r="L21" i="10"/>
  <c r="L22" i="10" s="1"/>
  <c r="L23" i="10" s="1"/>
  <c r="L24" i="10" s="1"/>
  <c r="L25" i="10" s="1"/>
  <c r="L26" i="10" s="1"/>
  <c r="L27" i="10" s="1"/>
  <c r="L28" i="10" s="1"/>
  <c r="L29" i="10" s="1"/>
  <c r="L20" i="10"/>
  <c r="L496" i="15" l="1"/>
  <c r="L497" i="15" s="1"/>
  <c r="L498" i="15" s="1"/>
  <c r="L499" i="15" s="1"/>
  <c r="L500" i="15" s="1"/>
  <c r="L501" i="15" s="1"/>
  <c r="L502" i="15" s="1"/>
  <c r="L503" i="15" s="1"/>
  <c r="L504" i="15" s="1"/>
  <c r="L505" i="15" s="1"/>
  <c r="L506" i="15" s="1"/>
  <c r="D983" i="10"/>
  <c r="D984" i="10" s="1"/>
  <c r="D985" i="10" s="1"/>
  <c r="D986" i="10" s="1"/>
  <c r="D987" i="10" s="1"/>
  <c r="D988" i="10" s="1"/>
  <c r="D982" i="10"/>
  <c r="D720" i="10"/>
  <c r="D721" i="10" s="1"/>
  <c r="D719" i="10"/>
  <c r="D672" i="10"/>
  <c r="D673" i="10"/>
  <c r="D674" i="10" s="1"/>
  <c r="D109" i="10"/>
  <c r="D111" i="10"/>
  <c r="D112" i="10" s="1"/>
  <c r="D113" i="10" s="1"/>
  <c r="D114" i="10" s="1"/>
  <c r="D115" i="10" s="1"/>
  <c r="D116" i="10" s="1"/>
  <c r="D117" i="10" s="1"/>
  <c r="D118" i="10" s="1"/>
  <c r="D119" i="10" s="1"/>
  <c r="D110" i="10"/>
  <c r="D327" i="10"/>
  <c r="D328" i="10"/>
  <c r="L6" i="16"/>
  <c r="S6" i="16"/>
  <c r="O6" i="16"/>
  <c r="D699" i="10"/>
  <c r="D700" i="10" s="1"/>
  <c r="D698" i="10"/>
  <c r="D302" i="10"/>
  <c r="D301" i="10"/>
  <c r="D990" i="10" l="1"/>
  <c r="D989" i="10"/>
  <c r="D675" i="10"/>
  <c r="D679" i="10"/>
  <c r="D677" i="10" l="1"/>
  <c r="D676" i="10"/>
  <c r="D678" i="1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A1" authorId="0" shapeId="0" xr:uid="{00000000-0006-0000-0300-000001000000}">
      <text>
        <r>
          <rPr>
            <sz val="10"/>
            <color rgb="FF000000"/>
            <rFont val="Arial"/>
            <scheme val="minor"/>
          </rPr>
          <t>1: best in role, must-have
2: alternate inferior pick / niche
3: situational / unnecessary
N/A: removed</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
  </authors>
  <commentList>
    <comment ref="D1" authorId="0" shapeId="0" xr:uid="{00000000-0006-0000-0E00-000001000000}">
      <text>
        <r>
          <rPr>
            <sz val="10"/>
            <color rgb="FF000000"/>
            <rFont val="Arial"/>
            <scheme val="minor"/>
          </rPr>
          <t>Timed from first input</t>
        </r>
      </text>
    </comment>
    <comment ref="F150" authorId="0" shapeId="0" xr:uid="{00000000-0006-0000-0E00-000002000000}">
      <text>
        <r>
          <rPr>
            <sz val="10"/>
            <color rgb="FF000000"/>
            <rFont val="Arial"/>
            <scheme val="minor"/>
          </rPr>
          <t>Value adjusted to account for enhanced surrounded applying to kinetic shotgun</t>
        </r>
      </text>
    </comment>
    <comment ref="G150" authorId="0" shapeId="0" xr:uid="{00000000-0006-0000-0E00-000003000000}">
      <text>
        <r>
          <rPr>
            <sz val="10"/>
            <color rgb="FF000000"/>
            <rFont val="Arial"/>
            <scheme val="minor"/>
          </rPr>
          <t>Value adjusted for surge distribution</t>
        </r>
      </text>
    </comment>
    <comment ref="A374" authorId="0" shapeId="0" xr:uid="{00000000-0006-0000-0E00-000004000000}">
      <text>
        <r>
          <rPr>
            <sz val="10"/>
            <color rgb="FF000000"/>
            <rFont val="Arial"/>
            <scheme val="minor"/>
          </rPr>
          <t>Today I learned holding down Divinity uses ~83% more ammo than perfect tapping</t>
        </r>
      </text>
    </comment>
    <comment ref="E451" authorId="0" shapeId="0" xr:uid="{00000000-0006-0000-0E00-000005000000}">
      <text>
        <r>
          <rPr>
            <sz val="10"/>
            <color rgb="FF000000"/>
            <rFont val="Arial"/>
            <scheme val="minor"/>
          </rPr>
          <t>Approximate value</t>
        </r>
      </text>
    </comment>
    <comment ref="F488" authorId="0" shapeId="0" xr:uid="{00000000-0006-0000-0E00-000006000000}">
      <text>
        <r>
          <rPr>
            <sz val="10"/>
            <color rgb="FF000000"/>
            <rFont val="Arial"/>
            <scheme val="minor"/>
          </rPr>
          <t>Value adjusted to account for different perks on shotguns</t>
        </r>
      </text>
    </comment>
    <comment ref="G488" authorId="0" shapeId="0" xr:uid="{00000000-0006-0000-0E00-000007000000}">
      <text>
        <r>
          <rPr>
            <sz val="10"/>
            <color rgb="FF000000"/>
            <rFont val="Arial"/>
            <scheme val="minor"/>
          </rPr>
          <t>Value adjusted for surge distribution</t>
        </r>
      </text>
    </comment>
    <comment ref="A579" authorId="0" shapeId="0" xr:uid="{00000000-0006-0000-0E00-000008000000}">
      <text>
        <r>
          <rPr>
            <sz val="10"/>
            <color rgb="FF000000"/>
            <rFont val="Arial"/>
            <scheme val="minor"/>
          </rPr>
          <t>Pretend Fortissimo has a 6 mag</t>
        </r>
      </text>
    </comment>
    <comment ref="H579" authorId="0" shapeId="0" xr:uid="{00000000-0006-0000-0E00-000009000000}">
      <text>
        <r>
          <rPr>
            <sz val="10"/>
            <color rgb="FF000000"/>
            <rFont val="Arial"/>
            <scheme val="minor"/>
          </rPr>
          <t>Value adjusted for surge distribution</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
  </authors>
  <commentList>
    <comment ref="M2" authorId="0" shapeId="0" xr:uid="{00000000-0006-0000-1000-000001000000}">
      <text>
        <r>
          <rPr>
            <sz val="10"/>
            <color rgb="FF000000"/>
            <rFont val="Arial"/>
            <scheme val="minor"/>
          </rPr>
          <t>Multiply by 1.04687 to get Templar value</t>
        </r>
      </text>
    </comment>
    <comment ref="N2" authorId="0" shapeId="0" xr:uid="{00000000-0006-0000-1000-000002000000}">
      <text>
        <r>
          <rPr>
            <sz val="10"/>
            <color rgb="FF000000"/>
            <rFont val="Arial"/>
            <scheme val="minor"/>
          </rPr>
          <t>Actual health bar damage / base rocket damage given buffs/debuffs/etc., should be about equal to None [5] A/B value for 5 player tests</t>
        </r>
      </text>
    </comment>
    <comment ref="O2" authorId="0" shapeId="0" xr:uid="{00000000-0006-0000-1000-000003000000}">
      <text>
        <r>
          <rPr>
            <sz val="10"/>
            <color rgb="FF000000"/>
            <rFont val="Arial"/>
            <scheme val="minor"/>
          </rPr>
          <t>Actual health bar damage / 5 man Pack Hunter true damage</t>
        </r>
      </text>
    </comment>
    <comment ref="P2" authorId="0" shapeId="0" xr:uid="{00000000-0006-0000-1000-000004000000}">
      <text>
        <r>
          <rPr>
            <sz val="10"/>
            <color rgb="FF000000"/>
            <rFont val="Arial"/>
            <scheme val="minor"/>
          </rPr>
          <t>% difference compared to expected</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
  </authors>
  <commentList>
    <comment ref="E1" authorId="0" shapeId="0" xr:uid="{00000000-0006-0000-1100-000001000000}">
      <text>
        <r>
          <rPr>
            <sz val="10"/>
            <color rgb="FF000000"/>
            <rFont val="Arial"/>
            <scheme val="minor"/>
          </rPr>
          <t>Timed from first input</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
  </authors>
  <commentList>
    <comment ref="A2" authorId="0" shapeId="0" xr:uid="{00000000-0006-0000-1400-000001000000}">
      <text>
        <r>
          <rPr>
            <sz val="10"/>
            <color rgb="FF000000"/>
            <rFont val="Arial"/>
            <scheme val="minor"/>
          </rPr>
          <t>Assumes infinite firing unless otherwise stated</t>
        </r>
      </text>
    </comment>
    <comment ref="C2" authorId="0" shapeId="0" xr:uid="{00000000-0006-0000-1400-000002000000}">
      <text>
        <r>
          <rPr>
            <sz val="10"/>
            <color rgb="FF000000"/>
            <rFont val="Arial"/>
            <scheme val="minor"/>
          </rPr>
          <t>From first to last damage tick for multi-tick weapons, infinite firing interval for single tick weapons</t>
        </r>
      </text>
    </comment>
    <comment ref="D2" authorId="0" shapeId="0" xr:uid="{00000000-0006-0000-1400-000003000000}">
      <text>
        <r>
          <rPr>
            <sz val="10"/>
            <color rgb="FF000000"/>
            <rFont val="Arial"/>
            <scheme val="minor"/>
          </rPr>
          <t>Start of ready frames to end of stow frames with Ophidian Aspect and 3x Dexterity
If ability, time from cast input to weapon ready</t>
        </r>
      </text>
    </comment>
    <comment ref="E2" authorId="0" shapeId="0" xr:uid="{00000000-0006-0000-1400-000004000000}">
      <text>
        <r>
          <rPr>
            <sz val="10"/>
            <color rgb="FF000000"/>
            <rFont val="Arial"/>
            <scheme val="minor"/>
          </rPr>
          <t>Full time to empty reserves with animations included, time between cycles for infinite duration components</t>
        </r>
      </text>
    </comment>
    <comment ref="G4" authorId="0" shapeId="0" xr:uid="{00000000-0006-0000-1400-000005000000}">
      <text>
        <r>
          <rPr>
            <sz val="10"/>
            <color rgb="FF000000"/>
            <rFont val="Arial"/>
            <scheme val="minor"/>
          </rPr>
          <t>Adjusted value to account for first shot missing Controlled Burst</t>
        </r>
      </text>
    </comment>
    <comment ref="G8" authorId="0" shapeId="0" xr:uid="{00000000-0006-0000-1400-000006000000}">
      <text>
        <r>
          <rPr>
            <sz val="10"/>
            <color rgb="FF000000"/>
            <rFont val="Arial"/>
            <scheme val="minor"/>
          </rPr>
          <t>Adjusted value to account for kinetic bonus, enhanced Surrounded, and surge disparity</t>
        </r>
      </text>
    </comment>
    <comment ref="F15" authorId="0" shapeId="0" xr:uid="{00000000-0006-0000-1400-000007000000}">
      <text>
        <r>
          <rPr>
            <sz val="10"/>
            <color rgb="FF000000"/>
            <rFont val="Arial"/>
            <scheme val="minor"/>
          </rPr>
          <t>Ends with heavy attack</t>
        </r>
      </text>
    </comment>
    <comment ref="N15" authorId="0" shapeId="0" xr:uid="{00000000-0006-0000-1400-000008000000}">
      <text>
        <r>
          <rPr>
            <sz val="10"/>
            <color rgb="FF000000"/>
            <rFont val="Arial"/>
            <scheme val="minor"/>
          </rPr>
          <t>Adjusted value for heavy attack only</t>
        </r>
      </text>
    </comment>
    <comment ref="F19" authorId="0" shapeId="0" xr:uid="{00000000-0006-0000-1400-000009000000}">
      <text>
        <r>
          <rPr>
            <sz val="10"/>
            <color rgb="FF000000"/>
            <rFont val="Arial"/>
            <scheme val="minor"/>
          </rPr>
          <t>Ends on a single shot</t>
        </r>
      </text>
    </comment>
    <comment ref="F22" authorId="0" shapeId="0" xr:uid="{00000000-0006-0000-1400-00000A000000}">
      <text>
        <r>
          <rPr>
            <sz val="10"/>
            <color rgb="FF000000"/>
            <rFont val="Arial"/>
            <scheme val="minor"/>
          </rPr>
          <t>Ends on heavy attack</t>
        </r>
      </text>
    </comment>
    <comment ref="P24" authorId="0" shapeId="0" xr:uid="{00000000-0006-0000-1400-00000B000000}">
      <text>
        <r>
          <rPr>
            <sz val="10"/>
            <color rgb="FF000000"/>
            <rFont val="Arial"/>
            <scheme val="minor"/>
          </rPr>
          <t>Adjusted formula to account for Rain of Fire sustained use</t>
        </r>
      </text>
    </comment>
    <comment ref="A26" authorId="0" shapeId="0" xr:uid="{00000000-0006-0000-1400-00000C000000}">
      <text>
        <r>
          <rPr>
            <sz val="10"/>
            <color rgb="FF000000"/>
            <rFont val="Arial"/>
            <scheme val="minor"/>
          </rPr>
          <t>Today I learned holding down Divinity uses ~83% more ammo than perfect tapping</t>
        </r>
      </text>
    </comment>
    <comment ref="G36" authorId="0" shapeId="0" xr:uid="{00000000-0006-0000-1400-00000D000000}">
      <text>
        <r>
          <rPr>
            <sz val="10"/>
            <color rgb="FF000000"/>
            <rFont val="Arial"/>
            <scheme val="minor"/>
          </rPr>
          <t>Adjusted value to account for first shot missing Controlled Burst</t>
        </r>
      </text>
    </comment>
    <comment ref="F38" authorId="0" shapeId="0" xr:uid="{00000000-0006-0000-1400-00000E000000}">
      <text>
        <r>
          <rPr>
            <sz val="10"/>
            <color rgb="FF000000"/>
            <rFont val="Arial"/>
            <scheme val="minor"/>
          </rPr>
          <t>Last shot is an x3</t>
        </r>
      </text>
    </comment>
    <comment ref="F40" authorId="0" shapeId="0" xr:uid="{00000000-0006-0000-1400-00000F000000}">
      <text>
        <r>
          <rPr>
            <sz val="10"/>
            <color rgb="FF000000"/>
            <rFont val="Arial"/>
            <scheme val="minor"/>
          </rPr>
          <t>Last shot is a single</t>
        </r>
      </text>
    </comment>
    <comment ref="G40" authorId="0" shapeId="0" xr:uid="{00000000-0006-0000-1400-000010000000}">
      <text>
        <r>
          <rPr>
            <sz val="10"/>
            <color rgb="FF000000"/>
            <rFont val="Arial"/>
            <scheme val="minor"/>
          </rPr>
          <t>Approximate value added for Necrotic Grip DoT (40% for ~4s cycle)</t>
        </r>
      </text>
    </comment>
    <comment ref="G42" authorId="0" shapeId="0" xr:uid="{00000000-0006-0000-1400-000011000000}">
      <text>
        <r>
          <rPr>
            <sz val="10"/>
            <color rgb="FF000000"/>
            <rFont val="Arial"/>
            <scheme val="minor"/>
          </rPr>
          <t>Adjusted value to account for kinetic bonus, Vorpal/Surrounded, and surge disparity</t>
        </r>
      </text>
    </comment>
    <comment ref="G51" authorId="0" shapeId="0" xr:uid="{00000000-0006-0000-1400-000012000000}">
      <text>
        <r>
          <rPr>
            <sz val="10"/>
            <color rgb="FF000000"/>
            <rFont val="Arial"/>
            <scheme val="minor"/>
          </rPr>
          <t>Adjusted value to account for kinetic bonus and surge disparity</t>
        </r>
      </text>
    </comment>
    <comment ref="F56" authorId="0" shapeId="0" xr:uid="{00000000-0006-0000-1400-000013000000}">
      <text>
        <r>
          <rPr>
            <sz val="10"/>
            <color rgb="FF000000"/>
            <rFont val="Arial"/>
            <scheme val="minor"/>
          </rPr>
          <t>Last mag is 36/97</t>
        </r>
      </text>
    </comment>
    <comment ref="F72" authorId="0" shapeId="0" xr:uid="{00000000-0006-0000-1400-000014000000}">
      <text>
        <r>
          <rPr>
            <sz val="10"/>
            <color rgb="FF000000"/>
            <rFont val="Arial"/>
            <scheme val="minor"/>
          </rPr>
          <t>Ends on heavy attack</t>
        </r>
      </text>
    </comment>
    <comment ref="E76" authorId="0" shapeId="0" xr:uid="{00000000-0006-0000-1400-000015000000}">
      <text>
        <r>
          <rPr>
            <sz val="10"/>
            <color rgb="FF000000"/>
            <rFont val="Arial"/>
            <scheme val="minor"/>
          </rPr>
          <t>Accounts for three manual reloads</t>
        </r>
      </text>
    </comment>
    <comment ref="E80" authorId="0" shapeId="0" xr:uid="{00000000-0006-0000-1400-000016000000}">
      <text>
        <r>
          <rPr>
            <sz val="10"/>
            <color rgb="FF000000"/>
            <rFont val="Arial"/>
            <scheme val="minor"/>
          </rPr>
          <t>Includes initial ADS time to proc Whispered Breathing</t>
        </r>
      </text>
    </comment>
  </commentList>
</comments>
</file>

<file path=xl/comments14.xml><?xml version="1.0" encoding="utf-8"?>
<comments xmlns="http://schemas.openxmlformats.org/spreadsheetml/2006/main" xmlns:mc="http://schemas.openxmlformats.org/markup-compatibility/2006" xmlns:xr="http://schemas.microsoft.com/office/spreadsheetml/2014/revision" mc:Ignorable="xr">
  <authors>
    <author/>
  </authors>
  <commentList>
    <comment ref="G6" authorId="0" shapeId="0" xr:uid="{00000000-0006-0000-1600-000001000000}">
      <text>
        <r>
          <rPr>
            <sz val="10"/>
            <color rgb="FF000000"/>
            <rFont val="Arial"/>
            <scheme val="minor"/>
          </rPr>
          <t>Energy lightweight used</t>
        </r>
      </text>
    </comment>
    <comment ref="G11" authorId="0" shapeId="0" xr:uid="{00000000-0006-0000-1600-000002000000}">
      <text>
        <r>
          <rPr>
            <sz val="10"/>
            <color rgb="FF000000"/>
            <rFont val="Arial"/>
            <scheme val="minor"/>
          </rPr>
          <t>Energy lightweight used</t>
        </r>
      </text>
    </comment>
    <comment ref="G17" authorId="0" shapeId="0" xr:uid="{00000000-0006-0000-1600-000003000000}">
      <text>
        <r>
          <rPr>
            <sz val="10"/>
            <color rgb="FF000000"/>
            <rFont val="Arial"/>
            <scheme val="minor"/>
          </rPr>
          <t>Energy lightweight used</t>
        </r>
      </text>
    </comment>
    <comment ref="G19" authorId="0" shapeId="0" xr:uid="{00000000-0006-0000-1600-000004000000}">
      <text>
        <r>
          <rPr>
            <sz val="10"/>
            <color rgb="FF000000"/>
            <rFont val="Arial"/>
            <scheme val="minor"/>
          </rPr>
          <t>Energy lightweight used</t>
        </r>
      </text>
    </comment>
    <comment ref="G21" authorId="0" shapeId="0" xr:uid="{00000000-0006-0000-1600-000005000000}">
      <text>
        <r>
          <rPr>
            <sz val="10"/>
            <color rgb="FF000000"/>
            <rFont val="Arial"/>
            <scheme val="minor"/>
          </rPr>
          <t>Energy lightweight used</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E1" authorId="0" shapeId="0" xr:uid="{00000000-0006-0000-0400-000001000000}">
      <text>
        <r>
          <rPr>
            <sz val="10"/>
            <color rgb="FF000000"/>
            <rFont val="Arial"/>
            <scheme val="minor"/>
          </rPr>
          <t>visual/wipe screen numbers</t>
        </r>
      </text>
    </comment>
    <comment ref="F1" authorId="0" shapeId="0" xr:uid="{00000000-0006-0000-0400-000002000000}">
      <text>
        <r>
          <rPr>
            <sz val="10"/>
            <color rgb="FF000000"/>
            <rFont val="Arial"/>
            <scheme val="minor"/>
          </rPr>
          <t>number of shots/instances fired</t>
        </r>
      </text>
    </comment>
    <comment ref="G1" authorId="0" shapeId="0" xr:uid="{00000000-0006-0000-0400-000003000000}">
      <text>
        <r>
          <rPr>
            <sz val="10"/>
            <color rgb="FF000000"/>
            <rFont val="Arial"/>
            <scheme val="minor"/>
          </rPr>
          <t>accurate to +/- 0.2%</t>
        </r>
      </text>
    </comment>
    <comment ref="H1" authorId="0" shapeId="0" xr:uid="{00000000-0006-0000-0400-000004000000}">
      <text>
        <r>
          <rPr>
            <sz val="10"/>
            <color rgb="FF000000"/>
            <rFont val="Arial"/>
            <scheme val="minor"/>
          </rPr>
          <t>accurate to +/- ~7505</t>
        </r>
      </text>
    </comment>
    <comment ref="I1" authorId="0" shapeId="0" xr:uid="{00000000-0006-0000-0400-000005000000}">
      <text>
        <r>
          <rPr>
            <sz val="10"/>
            <color rgb="FF000000"/>
            <rFont val="Arial"/>
            <scheme val="minor"/>
          </rPr>
          <t>actual / wipe (visual)</t>
        </r>
      </text>
    </comment>
    <comment ref="J1" authorId="0" shapeId="0" xr:uid="{00000000-0006-0000-0400-000006000000}">
      <text>
        <r>
          <rPr>
            <sz val="10"/>
            <color rgb="FF000000"/>
            <rFont val="Arial"/>
            <scheme val="minor"/>
          </rPr>
          <t>multiples of 7505 actual damage is from wipe damage, accounts for count</t>
        </r>
      </text>
    </comment>
    <comment ref="D38" authorId="0" shapeId="0" xr:uid="{00000000-0006-0000-0400-000007000000}">
      <text>
        <r>
          <rPr>
            <sz val="10"/>
            <color rgb="FF000000"/>
            <rFont val="Arial"/>
            <scheme val="minor"/>
          </rPr>
          <t xml:space="preserve">Regnant:
regular: 25095+10411
EL: 44987+6072
</t>
        </r>
      </text>
    </comment>
    <comment ref="C111" authorId="0" shapeId="0" xr:uid="{00000000-0006-0000-0400-000008000000}">
      <text>
        <r>
          <rPr>
            <sz val="10"/>
            <color rgb="FF000000"/>
            <rFont val="Arial"/>
            <scheme val="minor"/>
          </rPr>
          <t>Templar:
regular swing - 16022
1l - 16022 + 2*4006
1h - 42724 + 2*8011
2l - 21362 + 2*4006
2h - 64085 + 2*12016
3l - 21362 + 2*4006
3h - 61194 + 2*13351
4l - 21362 + 2*4006
4h - 61194 + 2*13351</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
  </authors>
  <commentList>
    <comment ref="E1" authorId="0" shapeId="0" xr:uid="{00000000-0006-0000-0500-000001000000}">
      <text>
        <r>
          <rPr>
            <sz val="10"/>
            <color rgb="FF000000"/>
            <rFont val="Arial"/>
            <scheme val="minor"/>
          </rPr>
          <t>visual/wipe screen numbers</t>
        </r>
      </text>
    </comment>
    <comment ref="F1" authorId="0" shapeId="0" xr:uid="{00000000-0006-0000-0500-000002000000}">
      <text>
        <r>
          <rPr>
            <sz val="10"/>
            <color rgb="FF000000"/>
            <rFont val="Arial"/>
            <scheme val="minor"/>
          </rPr>
          <t>number of shots/instances fired</t>
        </r>
      </text>
    </comment>
    <comment ref="G1" authorId="0" shapeId="0" xr:uid="{00000000-0006-0000-0500-000003000000}">
      <text>
        <r>
          <rPr>
            <sz val="10"/>
            <color rgb="FF000000"/>
            <rFont val="Arial"/>
            <scheme val="minor"/>
          </rPr>
          <t>accurate to +/- 0.2%</t>
        </r>
      </text>
    </comment>
    <comment ref="H1" authorId="0" shapeId="0" xr:uid="{00000000-0006-0000-0500-000004000000}">
      <text>
        <r>
          <rPr>
            <sz val="10"/>
            <color rgb="FF000000"/>
            <rFont val="Arial"/>
            <scheme val="minor"/>
          </rPr>
          <t>accurate to +/- ~7505</t>
        </r>
      </text>
    </comment>
    <comment ref="I1" authorId="0" shapeId="0" xr:uid="{00000000-0006-0000-0500-000005000000}">
      <text>
        <r>
          <rPr>
            <sz val="10"/>
            <color rgb="FF000000"/>
            <rFont val="Arial"/>
            <scheme val="minor"/>
          </rPr>
          <t>actual / wipe (visual)</t>
        </r>
      </text>
    </comment>
    <comment ref="J1" authorId="0" shapeId="0" xr:uid="{00000000-0006-0000-0500-000006000000}">
      <text>
        <r>
          <rPr>
            <sz val="10"/>
            <color rgb="FF000000"/>
            <rFont val="Arial"/>
            <scheme val="minor"/>
          </rPr>
          <t>multiples of 7505 actual damage is from wipe damage, accounts for count</t>
        </r>
      </text>
    </comment>
    <comment ref="B42" authorId="0" shapeId="0" xr:uid="{00000000-0006-0000-0500-000007000000}">
      <text>
        <r>
          <rPr>
            <sz val="10"/>
            <color rgb="FF000000"/>
            <rFont val="Arial"/>
            <scheme val="minor"/>
          </rPr>
          <t>30300 damage approx.</t>
        </r>
      </text>
    </comment>
    <comment ref="D45" authorId="0" shapeId="0" xr:uid="{00000000-0006-0000-0500-000008000000}">
      <text>
        <r>
          <rPr>
            <sz val="10"/>
            <color rgb="FF000000"/>
            <rFont val="Arial"/>
            <scheme val="minor"/>
          </rPr>
          <t>Variable damage, highest damage test result given</t>
        </r>
      </text>
    </comment>
    <comment ref="D47" authorId="0" shapeId="0" xr:uid="{00000000-0006-0000-0500-000009000000}">
      <text>
        <r>
          <rPr>
            <sz val="10"/>
            <color rgb="FF000000"/>
            <rFont val="Arial"/>
            <scheme val="minor"/>
          </rPr>
          <t>Inconsistent tracking on Templar</t>
        </r>
      </text>
    </comment>
    <comment ref="D48" authorId="0" shapeId="0" xr:uid="{00000000-0006-0000-0500-00000A000000}">
      <text>
        <r>
          <rPr>
            <sz val="10"/>
            <color rgb="FF000000"/>
            <rFont val="Arial"/>
            <scheme val="minor"/>
          </rPr>
          <t>Scaled off Phry'zhia testing, inconsistent / bad on Templar</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
  </authors>
  <commentList>
    <comment ref="Y12" authorId="0" shapeId="0" xr:uid="{00000000-0006-0000-0600-000001000000}">
      <text>
        <r>
          <rPr>
            <sz val="10"/>
            <color rgb="FF000000"/>
            <rFont val="Arial"/>
            <scheme val="minor"/>
          </rPr>
          <t>Wastelander shot + Horseman mag included</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
  </authors>
  <commentList>
    <comment ref="J1" authorId="0" shapeId="0" xr:uid="{00000000-0006-0000-0700-000001000000}">
      <text>
        <r>
          <rPr>
            <sz val="10"/>
            <color rgb="FF000000"/>
            <rFont val="Arial"/>
            <scheme val="minor"/>
          </rPr>
          <t>cycle time</t>
        </r>
      </text>
    </comment>
    <comment ref="K1" authorId="0" shapeId="0" xr:uid="{00000000-0006-0000-0700-000002000000}">
      <text>
        <r>
          <rPr>
            <sz val="10"/>
            <color rgb="FF000000"/>
            <rFont val="Arial"/>
            <scheme val="minor"/>
          </rPr>
          <t>total time to dump reserves</t>
        </r>
      </text>
    </comment>
    <comment ref="T1" authorId="0" shapeId="0" xr:uid="{00000000-0006-0000-0700-000003000000}">
      <text>
        <r>
          <rPr>
            <sz val="10"/>
            <color rgb="FF000000"/>
            <rFont val="Arial"/>
            <scheme val="minor"/>
          </rPr>
          <t>Short term shot-to-shot DPS</t>
        </r>
      </text>
    </comment>
    <comment ref="U1" authorId="0" shapeId="0" xr:uid="{00000000-0006-0000-0700-000004000000}">
      <text>
        <r>
          <rPr>
            <sz val="10"/>
            <color rgb="FF000000"/>
            <rFont val="Arial"/>
            <scheme val="minor"/>
          </rPr>
          <t>DPS across entire reserves + fast reloads (Rain of Fire, etc.)</t>
        </r>
      </text>
    </comment>
    <comment ref="S25" authorId="0" shapeId="0" xr:uid="{00000000-0006-0000-0700-000005000000}">
      <text>
        <r>
          <rPr>
            <sz val="10"/>
            <color rgb="FF000000"/>
            <rFont val="Arial"/>
            <scheme val="minor"/>
          </rPr>
          <t>Assumes spaced out shots</t>
        </r>
      </text>
    </comment>
    <comment ref="D36" authorId="0" shapeId="0" xr:uid="{00000000-0006-0000-0700-000006000000}">
      <text>
        <r>
          <rPr>
            <sz val="10"/>
            <color rgb="FF000000"/>
            <rFont val="Arial"/>
            <scheme val="minor"/>
          </rPr>
          <t>1000ms x0-x5
1216ms x5-x10
866ms x10-x15
516ms x15-x15</t>
        </r>
      </text>
    </comment>
    <comment ref="L54" authorId="0" shapeId="0" xr:uid="{00000000-0006-0000-0700-000007000000}">
      <text>
        <r>
          <rPr>
            <sz val="10"/>
            <color rgb="FF000000"/>
            <rFont val="Arial"/>
            <scheme val="minor"/>
          </rPr>
          <t>2899 per shot (TL x5)</t>
        </r>
      </text>
    </comment>
    <comment ref="L61" authorId="0" shapeId="0" xr:uid="{00000000-0006-0000-0700-000008000000}">
      <text>
        <r>
          <rPr>
            <sz val="10"/>
            <color rgb="FF000000"/>
            <rFont val="Arial"/>
            <scheme val="minor"/>
          </rPr>
          <t>heavy: 65,986</t>
        </r>
      </text>
    </comment>
    <comment ref="L66" authorId="0" shapeId="0" xr:uid="{00000000-0006-0000-0700-000009000000}">
      <text>
        <r>
          <rPr>
            <sz val="10"/>
            <color rgb="FF000000"/>
            <rFont val="Arial"/>
            <scheme val="minor"/>
          </rPr>
          <t>2L1H: 141,525</t>
        </r>
      </text>
    </comment>
    <comment ref="A131" authorId="0" shapeId="0" xr:uid="{00000000-0006-0000-0700-00000A000000}">
      <text>
        <r>
          <rPr>
            <sz val="10"/>
            <color rgb="FF000000"/>
            <rFont val="Arial"/>
            <scheme val="minor"/>
          </rPr>
          <t>Today I learned holding down Divinity uses ~83% more ammo than perfect tapping</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
  </authors>
  <commentList>
    <comment ref="C925" authorId="0" shapeId="0" xr:uid="{00000000-0006-0000-0900-000001000000}">
      <text>
        <r>
          <rPr>
            <sz val="10"/>
            <color rgb="FF000000"/>
            <rFont val="Arial"/>
            <scheme val="minor"/>
          </rPr>
          <t>19/195 partial mag</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
  </authors>
  <commentList>
    <comment ref="C1" authorId="0" shapeId="0" xr:uid="{00000000-0006-0000-0B00-000001000000}">
      <text>
        <r>
          <rPr>
            <sz val="10"/>
            <color rgb="FF000000"/>
            <rFont val="Arial"/>
            <scheme val="minor"/>
          </rPr>
          <t>Timed from first input to last damage tick</t>
        </r>
      </text>
    </comment>
    <comment ref="A75" authorId="0" shapeId="0" xr:uid="{00000000-0006-0000-0B00-000002000000}">
      <text>
        <r>
          <rPr>
            <sz val="10"/>
            <color rgb="FF000000"/>
            <rFont val="Arial"/>
            <scheme val="minor"/>
          </rPr>
          <t>Today I learned holding down Divinity uses ~83% more ammo than perfect tapping</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
  </authors>
  <commentList>
    <comment ref="A1" authorId="0" shapeId="0" xr:uid="{00000000-0006-0000-0C00-000001000000}">
      <text>
        <r>
          <rPr>
            <sz val="10"/>
            <color rgb="FF000000"/>
            <rFont val="Arial"/>
            <scheme val="minor"/>
          </rPr>
          <t>Assume x3 surge</t>
        </r>
      </text>
    </comment>
    <comment ref="C1" authorId="0" shapeId="0" xr:uid="{00000000-0006-0000-0C00-000002000000}">
      <text>
        <r>
          <rPr>
            <sz val="10"/>
            <color rgb="FF000000"/>
            <rFont val="Arial"/>
            <scheme val="minor"/>
          </rPr>
          <t>Amount of damage done in a single swap instance (one x4 Izi, one Lament combo, etc.)</t>
        </r>
      </text>
    </comment>
    <comment ref="J1" authorId="0" shapeId="0" xr:uid="{00000000-0006-0000-0C00-000003000000}">
      <text>
        <r>
          <rPr>
            <sz val="10"/>
            <color rgb="FF000000"/>
            <rFont val="Arial"/>
            <scheme val="minor"/>
          </rPr>
          <t>First frame of weapon ready animation to first firing frame</t>
        </r>
      </text>
    </comment>
    <comment ref="K1" authorId="0" shapeId="0" xr:uid="{00000000-0006-0000-0C00-000004000000}">
      <text>
        <r>
          <rPr>
            <sz val="10"/>
            <color rgb="FF000000"/>
            <rFont val="Arial"/>
            <scheme val="minor"/>
          </rPr>
          <t>First frame of weapon firing to last frame of weapon firing</t>
        </r>
      </text>
    </comment>
    <comment ref="L1" authorId="0" shapeId="0" xr:uid="{00000000-0006-0000-0C00-000005000000}">
      <text>
        <r>
          <rPr>
            <sz val="10"/>
            <color rgb="FF000000"/>
            <rFont val="Arial"/>
            <scheme val="minor"/>
          </rPr>
          <t>Last frame of weapon firing to last frame of weapon stow animation</t>
        </r>
      </text>
    </comment>
    <comment ref="N1" authorId="0" shapeId="0" xr:uid="{00000000-0006-0000-0C00-000006000000}">
      <text>
        <r>
          <rPr>
            <sz val="10"/>
            <color rgb="FF000000"/>
            <rFont val="Arial"/>
            <scheme val="minor"/>
          </rPr>
          <t>Total duration of damage from ready animation start to final tick, or equal to total if previous calculation is below total</t>
        </r>
      </text>
    </comment>
    <comment ref="O1" authorId="0" shapeId="0" xr:uid="{00000000-0006-0000-0C00-000007000000}">
      <text>
        <r>
          <rPr>
            <sz val="10"/>
            <color rgb="FF000000"/>
            <rFont val="Arial"/>
            <scheme val="minor"/>
          </rPr>
          <t>Only accounts for input timings (assumes damage is instant the second you fire)
Useful for longer phases where the assumption is that you are continuously using these weapons in a less time-sensitive environment</t>
        </r>
      </text>
    </comment>
    <comment ref="P1" authorId="0" shapeId="0" xr:uid="{00000000-0006-0000-0C00-000008000000}">
      <text>
        <r>
          <rPr>
            <sz val="10"/>
            <color rgb="FF000000"/>
            <rFont val="Arial"/>
            <scheme val="minor"/>
          </rPr>
          <t>Accounts for travel time and lingering projectiles
Useful for extremely time-sensitive scenarios where your damage being calculated slowly vs. instantly actually affects the kill</t>
        </r>
      </text>
    </comment>
    <comment ref="C72" authorId="0" shapeId="0" xr:uid="{00000000-0006-0000-0C00-000009000000}">
      <text>
        <r>
          <rPr>
            <sz val="10"/>
            <color rgb="FF000000"/>
            <rFont val="Arial"/>
            <scheme val="minor"/>
          </rPr>
          <t>Two shots proc three shockwaves, each dealing 41.11% of a precision shot, approximately a 61.7% damage perk for those shots</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
  </authors>
  <commentList>
    <comment ref="J2" authorId="0" shapeId="0" xr:uid="{00000000-0006-0000-0D00-000001000000}">
      <text>
        <r>
          <rPr>
            <sz val="10"/>
            <color rgb="FF000000"/>
            <rFont val="Arial"/>
            <scheme val="minor"/>
          </rPr>
          <t>Takes the value of the weapon type more likely to be used (body damage on Atraks, precision damage on Kalli, etc.)</t>
        </r>
      </text>
    </comment>
    <comment ref="Y4" authorId="0" shapeId="0" xr:uid="{00000000-0006-0000-0D00-000002000000}">
      <text>
        <r>
          <rPr>
            <sz val="10"/>
            <color rgb="FF000000"/>
            <rFont val="Arial"/>
            <scheme val="minor"/>
          </rPr>
          <t>1.483s per break</t>
        </r>
      </text>
    </comment>
    <comment ref="C6" authorId="0" shapeId="0" xr:uid="{00000000-0006-0000-0D00-000003000000}">
      <text>
        <r>
          <rPr>
            <sz val="10"/>
            <color rgb="FF000000"/>
            <rFont val="Arial"/>
            <scheme val="minor"/>
          </rPr>
          <t>Body value</t>
        </r>
      </text>
    </comment>
    <comment ref="Y6" authorId="0" shapeId="0" xr:uid="{00000000-0006-0000-0D00-000004000000}">
      <text>
        <r>
          <rPr>
            <sz val="10"/>
            <color rgb="FF000000"/>
            <rFont val="Arial"/>
            <scheme val="minor"/>
          </rPr>
          <t>2.6s main damage
0.6s final stand</t>
        </r>
      </text>
    </comment>
    <comment ref="I9" authorId="0" shapeId="0" xr:uid="{00000000-0006-0000-0D00-000005000000}">
      <text>
        <r>
          <rPr>
            <sz val="10"/>
            <color rgb="FF000000"/>
            <rFont val="Arial"/>
            <scheme val="minor"/>
          </rPr>
          <t>Ignore value (can't land crits on fuses)</t>
        </r>
      </text>
    </comment>
    <comment ref="Y9" authorId="0" shapeId="0" xr:uid="{00000000-0006-0000-0D00-000006000000}">
      <text>
        <r>
          <rPr>
            <sz val="10"/>
            <color rgb="FF000000"/>
            <rFont val="Arial"/>
            <scheme val="minor"/>
          </rPr>
          <t>1.366s per fuse</t>
        </r>
      </text>
    </comment>
    <comment ref="I10" authorId="0" shapeId="0" xr:uid="{00000000-0006-0000-0D00-000007000000}">
      <text>
        <r>
          <rPr>
            <sz val="10"/>
            <color rgb="FF000000"/>
            <rFont val="Arial"/>
            <scheme val="minor"/>
          </rPr>
          <t>Crit damage doesn't seem to scale on health bar correctly</t>
        </r>
      </text>
    </comment>
    <comment ref="Y10" authorId="0" shapeId="0" xr:uid="{00000000-0006-0000-0D00-000008000000}">
      <text>
        <r>
          <rPr>
            <sz val="10"/>
            <color rgb="FF000000"/>
            <rFont val="Arial"/>
            <scheme val="minor"/>
          </rPr>
          <t>3s main damage
0.066s final stand</t>
        </r>
      </text>
    </comment>
    <comment ref="F13" authorId="0" shapeId="0" xr:uid="{00000000-0006-0000-0D00-000009000000}">
      <text>
        <r>
          <rPr>
            <sz val="10"/>
            <color rgb="FF000000"/>
            <rFont val="Arial"/>
            <scheme val="minor"/>
          </rPr>
          <t>Templar Death Throes x5 fusion grenade w/ Touch of Flame: 125232
Atheon, same thing: 378496
Approximately 3.02x multiplier</t>
        </r>
      </text>
    </comment>
    <comment ref="Y14" authorId="0" shapeId="0" xr:uid="{00000000-0006-0000-0D00-00000A000000}">
      <text>
        <r>
          <rPr>
            <sz val="10"/>
            <color rgb="FF000000"/>
            <rFont val="Arial"/>
            <scheme val="minor"/>
          </rPr>
          <t>7.866s main damage
6.366s final stand</t>
        </r>
      </text>
    </comment>
    <comment ref="Y15" authorId="0" shapeId="0" xr:uid="{00000000-0006-0000-0D00-00000B000000}">
      <text>
        <r>
          <rPr>
            <sz val="10"/>
            <color rgb="FF000000"/>
            <rFont val="Arial"/>
            <scheme val="minor"/>
          </rPr>
          <t>10.983s main damage
2.483s final stand</t>
        </r>
      </text>
    </comment>
    <comment ref="C17" authorId="0" shapeId="0" xr:uid="{00000000-0006-0000-0D00-00000C000000}">
      <text>
        <r>
          <rPr>
            <sz val="10"/>
            <color rgb="FF000000"/>
            <rFont val="Arial"/>
            <scheme val="minor"/>
          </rPr>
          <t>Unstable Light does ~670K damage
16305313 damage according to gaze overdamage wipe</t>
        </r>
      </text>
    </comment>
    <comment ref="Y17" authorId="0" shapeId="0" xr:uid="{00000000-0006-0000-0D00-00000D000000}">
      <text>
        <r>
          <rPr>
            <sz val="10"/>
            <color rgb="FF000000"/>
            <rFont val="Arial"/>
            <scheme val="minor"/>
          </rPr>
          <t>Strat shown, kill is horrible</t>
        </r>
      </text>
    </comment>
    <comment ref="G19" authorId="0" shapeId="0" xr:uid="{00000000-0006-0000-0D00-00000E000000}">
      <text>
        <r>
          <rPr>
            <sz val="10"/>
            <color rgb="FF000000"/>
            <rFont val="Arial"/>
            <scheme val="minor"/>
          </rPr>
          <t>Technically has DR against normal weapons but not precision hits</t>
        </r>
      </text>
    </comment>
    <comment ref="Y20" authorId="0" shapeId="0" xr:uid="{00000000-0006-0000-0D00-00000F000000}">
      <text>
        <r>
          <rPr>
            <sz val="10"/>
            <color rgb="FF000000"/>
            <rFont val="Arial"/>
            <scheme val="minor"/>
          </rPr>
          <t>6.667s first plate
3.917s second plate
2.617s final stand</t>
        </r>
      </text>
    </comment>
    <comment ref="Y21" authorId="0" shapeId="0" xr:uid="{00000000-0006-0000-0D00-000010000000}">
      <text>
        <r>
          <rPr>
            <sz val="10"/>
            <color rgb="FF000000"/>
            <rFont val="Arial"/>
            <scheme val="minor"/>
          </rPr>
          <t>16.417s main damage
2.833s final stand</t>
        </r>
      </text>
    </comment>
    <comment ref="F23" authorId="0" shapeId="0" xr:uid="{00000000-0006-0000-0D00-000011000000}">
      <text>
        <r>
          <rPr>
            <sz val="10"/>
            <color rgb="FF000000"/>
            <rFont val="Arial"/>
            <scheme val="minor"/>
          </rPr>
          <t>https://i.imgur.com/F5qTl1j.png
+35% from swords
-13% from HGLs
everything else normal</t>
        </r>
      </text>
    </comment>
    <comment ref="D25" authorId="0" shapeId="0" xr:uid="{00000000-0006-0000-0D00-000012000000}">
      <text>
        <r>
          <rPr>
            <sz val="10"/>
            <color rgb="FF000000"/>
            <rFont val="Arial"/>
            <scheme val="minor"/>
          </rPr>
          <t>Finite Thought x3</t>
        </r>
      </text>
    </comment>
    <comment ref="E25" authorId="0" shapeId="0" xr:uid="{00000000-0006-0000-0D00-000013000000}">
      <text>
        <r>
          <rPr>
            <sz val="10"/>
            <color rgb="FF000000"/>
            <rFont val="Arial"/>
            <scheme val="minor"/>
          </rPr>
          <t>Finite Thought x3</t>
        </r>
      </text>
    </comment>
    <comment ref="B32" authorId="0" shapeId="0" xr:uid="{00000000-0006-0000-0D00-000014000000}">
      <text>
        <r>
          <rPr>
            <sz val="10"/>
            <color rgb="FF000000"/>
            <rFont val="Arial"/>
            <scheme val="minor"/>
          </rPr>
          <t>Ka'hok: 404118 = (419-262)/427 = 36.7681%
Emonut: 621712 = (433-181)/446 = 56.5022%</t>
        </r>
      </text>
    </comment>
    <comment ref="G33" authorId="0" shapeId="0" xr:uid="{00000000-0006-0000-0D00-000015000000}">
      <text>
        <r>
          <rPr>
            <sz val="10"/>
            <color rgb="FF000000"/>
            <rFont val="Arial"/>
            <scheme val="minor"/>
          </rPr>
          <t>Backpack has normal 1x crit</t>
        </r>
      </text>
    </comment>
  </commentList>
</comments>
</file>

<file path=xl/sharedStrings.xml><?xml version="1.0" encoding="utf-8"?>
<sst xmlns="http://schemas.openxmlformats.org/spreadsheetml/2006/main" count="8410" uniqueCount="3839">
  <si>
    <t>Welcome to my boss DPS spreadsheet! Here you'll find the most accurate boss damage testing that currently exists in Destiny 2. Feel free to make a copy (File &gt; Make a copy) if you want to play around with the data yourself. Here's a brief overview of the tabs:</t>
  </si>
  <si>
    <r>
      <rPr>
        <b/>
        <u/>
        <sz val="11"/>
        <color rgb="FFD9F0FF"/>
        <rFont val="Arial"/>
      </rPr>
      <t xml:space="preserve">WATCH: </t>
    </r>
    <r>
      <rPr>
        <u/>
        <sz val="11"/>
        <color rgb="FFD9F0FF"/>
        <rFont val="Arial"/>
      </rPr>
      <t>How does this spreadsheet work?</t>
    </r>
  </si>
  <si>
    <t>Current News</t>
  </si>
  <si>
    <t>Changelog</t>
  </si>
  <si>
    <t>History of changes made to the spreadsheet.</t>
  </si>
  <si>
    <r>
      <rPr>
        <b/>
        <sz val="10"/>
        <color rgb="FFFFFFFF"/>
        <rFont val="Arial"/>
      </rPr>
      <t>If you have any suggestions or questions, feel free to reach out to me at @</t>
    </r>
    <r>
      <rPr>
        <b/>
        <i/>
        <sz val="10"/>
        <color rgb="FFFFFFFF"/>
        <rFont val="Arial"/>
      </rPr>
      <t>theaegisrelic</t>
    </r>
    <r>
      <rPr>
        <b/>
        <sz val="10"/>
        <color rgb="FFFFFFFF"/>
        <rFont val="Arial"/>
      </rPr>
      <t xml:space="preserve"> on Discord.</t>
    </r>
  </si>
  <si>
    <t>Damage values will be adjusted when the patch hits (March 5). For now, HGLs look good going into next season, high-impact frame rockets look like top picks in GMs, but the rest of the sandbox hasn't changed much (BnS nerf included).
Test:
Exotic swapping (SES &gt; Raiden)
Add:
Solo tab</t>
  </si>
  <si>
    <t>FAQ</t>
  </si>
  <si>
    <t>Commonly asked questions/myths about boss DPS.</t>
  </si>
  <si>
    <t>Equipment</t>
  </si>
  <si>
    <t>The stuff you need for DPS, whether it be weapons or armor.</t>
  </si>
  <si>
    <t>Weapons</t>
  </si>
  <si>
    <t>True weapon damage values against Templar.</t>
  </si>
  <si>
    <t>Abilities</t>
  </si>
  <si>
    <t>True ability damage values against Templar.</t>
  </si>
  <si>
    <t>Ranking</t>
  </si>
  <si>
    <t>DPS strategies involving more than one weapon, with examples attached.</t>
  </si>
  <si>
    <t>Single</t>
  </si>
  <si>
    <t>Precise DPS of individual damage sources.</t>
  </si>
  <si>
    <t>Swap</t>
  </si>
  <si>
    <t>Measures of DPS in the context of swapping.</t>
  </si>
  <si>
    <t>Bosses</t>
  </si>
  <si>
    <t>Health values and considerations.</t>
  </si>
  <si>
    <t>Wolfpacks</t>
  </si>
  <si>
    <t>Pack Hunter scaling and stacking tests.</t>
  </si>
  <si>
    <t>Historical</t>
  </si>
  <si>
    <t>Comparisons to pre-nerf/patch DPS options.</t>
  </si>
  <si>
    <t>Experimental</t>
  </si>
  <si>
    <t>Me having fun testing team DPS stuff for friends.</t>
  </si>
  <si>
    <t>Date</t>
  </si>
  <si>
    <t>Description</t>
  </si>
  <si>
    <t>TBA</t>
  </si>
  <si>
    <t>To test: Caretaker post-threshold scalar, boss health with dividers/final stands (Shuro, Caretaker, etc.), Deathbringer despawning, TTF Sanguine/Foetracer surge stacking, Eriana's Vow w/ Lucky Pants</t>
  </si>
  <si>
    <t>To update: boss damage strategies</t>
  </si>
  <si>
    <t>Updated FAQ a bit and removed some unnecessary questions.</t>
  </si>
  <si>
    <t>Fixed a small error with Surrounded adaptive rocket launcher total damage in the Single tab.</t>
  </si>
  <si>
    <t>Added Precision Instrument Doomed Petitioner and grapple melee to Single tab.</t>
  </si>
  <si>
    <t>Updated most base melee values, added caster frames to Single and Weapons tab.</t>
  </si>
  <si>
    <t>Added Warlord's Ruin boss health values.</t>
  </si>
  <si>
    <t>Updated The Fourth Horseman cycle values in Single tab.</t>
  </si>
  <si>
    <t>Added rocket-assisted frame sidearm values, updated Incinerator Snap values.</t>
  </si>
  <si>
    <t>Split Values tab into Weapons and Abilities.</t>
  </si>
  <si>
    <t>Added Winterbite to Single and Values tab.</t>
  </si>
  <si>
    <t>Added Slideshot Crux Termination IV and Controlled Burst Scatter Signal to Single tab.</t>
  </si>
  <si>
    <t>Removed Ballidorse Wrathweavers from FAQ, updated Izanagi's Burden, Whisper of the Worm, Cloudstrike, legendary sniper, glaive, and Celestial Nighthawk values, added Dragon's Breath, removed glaive projectile values.</t>
  </si>
  <si>
    <t>Added two quickswap rotations to Ranking tab, changed Apex to Surrounded in Ranking tab.</t>
  </si>
  <si>
    <t>Changed Nox Perennial V reserves to 22 from 28 after supposed hotfix.</t>
  </si>
  <si>
    <t>Added Monte Carlo with Bayonet Locked and Worldline Zero with Temporal Sprint to Values tab, Lumina to Equipment tab, and Nanotech Tracer Rockets to FAQ tab.</t>
  </si>
  <si>
    <t>Updated Equipment tab with pellet shotguns and HGLs.</t>
  </si>
  <si>
    <t>Updated Warden's sniper Gjallarhorn rotation to use correct super.</t>
  </si>
  <si>
    <t>Added Death's Razor to Swap tab.</t>
  </si>
  <si>
    <t>Updated Nox Perennial V with new total reserves number in Single tab.</t>
  </si>
  <si>
    <t>Updated The Eremite Reservoir Burst total damage value to account for final mag losing perk in Single tab.</t>
  </si>
  <si>
    <t>Updated Equipment tab with S22 options.</t>
  </si>
  <si>
    <t>Updated Crota scalar with more precise testing.</t>
  </si>
  <si>
    <t>Updated Royal Executioner mag sequence to account for enhanced Reservoir Burst in Single tab.</t>
  </si>
  <si>
    <t>Removed double pellet Gjally (Weavewalk) rotation from Ranking tab, added Warden's Law to Values and Swap tab.</t>
  </si>
  <si>
    <t>Updated Lament total damage values with 65 instead of 58 reserves in Single tab.</t>
  </si>
  <si>
    <t>Added Black Talon to Values and Single tab, added Heartshadow values to Values and Single tab.</t>
  </si>
  <si>
    <t>Updated aerial light attack value for Goldtusk in Values and Single tab.</t>
  </si>
  <si>
    <t>Updated Foetracer Izi sniper Apex rotation to include 3/4 surge with RNG 11 Clown mag, readjusted incorrect Blade Barrage values in Ranking tab and updated Horseman Wendigo total time, added Goldtusk grounded 3L1H to Single tab.</t>
  </si>
  <si>
    <t>Fixed erroneous Goldtusk aerial heavy value in Single tab.</t>
  </si>
  <si>
    <t>Updated BoW section in FAQ, Ranking, and Swap tabs, added double stacking BoW to Historical tab, removed grenades from Single tab, added Type column to Single tab, added Bequest light attacks only to Single tab.</t>
  </si>
  <si>
    <t>Finished Historical tab.</t>
  </si>
  <si>
    <r>
      <rPr>
        <b/>
        <sz val="10"/>
        <color theme="1"/>
        <rFont val="Arial"/>
      </rPr>
      <t xml:space="preserve">Completely redid Ranking tab and merged Sequencing tab into it, </t>
    </r>
    <r>
      <rPr>
        <sz val="10"/>
        <color theme="1"/>
        <rFont val="Arial"/>
      </rPr>
      <t>updated Malfeasance from 18 to 17 shot burst, added videos to every rotation, added titan BoW rotations to Ranking tab and titan BoW abilities to Swap tab.</t>
    </r>
  </si>
  <si>
    <t>Added Goldtusk to Single tab and Crota's End bosses to Bosses tab.</t>
  </si>
  <si>
    <t>Edited kinetic surge info into Golden Gun FAQ, removed Synthoceps from Equipment tab.</t>
  </si>
  <si>
    <t>Added Pyrogale vs. Cuirass to FAQ tab, added Tessellation to Values, Single, and Swap tabs.</t>
  </si>
  <si>
    <t>Added Bait and Switch Supremacy to Swap tab.</t>
  </si>
  <si>
    <t>Renamed Timing tab to Single, added double stack Banner of War to Values tab.</t>
  </si>
  <si>
    <t>Added Banner of War Bladefury, One-Two Punch Frenzied Blade, and One-Two Punch Grapple Melee to Values tab.</t>
  </si>
  <si>
    <t>Merged Single and Timing tab together, also redid entire Timing tab, updated Malfeasance value from 15 to 18 shot burst.</t>
  </si>
  <si>
    <t>Updated all damage total-type columns to use comma formatting, updated FAQ to match new Pack Hunter testing, added Reconstruction manual reload to FAQ tab.</t>
  </si>
  <si>
    <r>
      <rPr>
        <sz val="10"/>
        <color theme="1"/>
        <rFont val="Arial"/>
      </rPr>
      <t xml:space="preserve">Updated Izanagi's Burden, Golden Gun, Blade Barrage, threadling Grenade, Two-Tailed Fox, and Needlestorm in Values tab, updated all Sequencing rotations to use ideal timings, updated Wolfpacks tab with 7.2.0.1 change, added buffed Bipod to Wolfpacks tab.
</t>
    </r>
    <r>
      <rPr>
        <b/>
        <sz val="10"/>
        <color theme="1"/>
        <rFont val="Arial"/>
      </rPr>
      <t>Redid almost every tab with 7.2.0.1 rocket update and new data, also redid Sequencing entirely with swap data.</t>
    </r>
  </si>
  <si>
    <t>Added Burning Maul w/ Pyrogale Gauntlets to Values tab.</t>
  </si>
  <si>
    <t>Edited Arc Soul values in FAQ and Single tab to accurately reflect 60s timing window, added debuff extension to FAQ tab, added Legend of Acrius to Trench Barrel section in FAQ tab, added Broodweaver grenades to FAQ tab.</t>
  </si>
  <si>
    <t>Added Well conversion and No Backup Plans to FAQ tab.</t>
  </si>
  <si>
    <t>Added Trench Barrel to FAQ tab, added FPS-based damage to FAQ tab, finalized Arc Soul team damage results.</t>
  </si>
  <si>
    <t>Added Current News section to Home page, deleted Pack Hunter rockets from Values tab, added Cluster Bomb values to FAQ tab, added Experimental tab to theorycraft team DPS, cleaned up tab descriptions in Home tab, added Duality to FAQ tab.</t>
  </si>
  <si>
    <t>Moved old Wolfpacks tab to hidden, filled out remaining Wolfpack data.</t>
  </si>
  <si>
    <t>Added Ballidorse to Wolfpacks tab, removed A/S column, added % diff column, updated Malfeasance Blade Apex rotation with Cascade Point, added Malfeasance Impetus Apex rotation.</t>
  </si>
  <si>
    <t>Added Seventh Seraph CQC-12 to Equipment tab, added Cascade Point IKELOS_SG_V1.0.3 to Swap tab, added Golden Gun Well vs. Radiant testing to FAQ.</t>
  </si>
  <si>
    <t>Added manually reloaded Cup-Bearer SA/2 to Timing and Single tabs.</t>
  </si>
  <si>
    <t>Updated Wolfpacks tab with second round of testing.</t>
  </si>
  <si>
    <t>Removed graph from Single tab, updated Arc Soul base and Amplified damage, filled in Arc Soul vs. Needlestorm in FAQ.</t>
  </si>
  <si>
    <t>Finished half of new Pack Hunter testing, added Kinetic Tremors to FAQ.</t>
  </si>
  <si>
    <t>Updated ranking graph, added special GLs comp to FAQ, removed some bad prospective test exotics from Values tab.</t>
  </si>
  <si>
    <t>Added empty Wolfpacks (new) tab, added Notes column to Equipment tab.</t>
  </si>
  <si>
    <t>Added Equipment tab, added Cascade HGL, added double slug Parasite, added no Pack Izi slug Apex, updated Two-Tailed Fox values, added Duality values, added Duality slug Apex.</t>
  </si>
  <si>
    <t>Finished Swap tab and added Duration column, finished RDM vs. RoF vs. TDS testing.</t>
  </si>
  <si>
    <t>Reworked Bosses tab and added kill examples.</t>
  </si>
  <si>
    <t>Updated Sequencing to more accurately reflect Threadling Grenade damage timing in the Ranking graph, updated Historical descriptions and added PD Sleeper.</t>
  </si>
  <si>
    <t>Updated FAQ and added finished full boss health values in Bosses tab.</t>
  </si>
  <si>
    <t>Split Components tab into Components and Swap.</t>
  </si>
  <si>
    <t>Video released, Conditional pellet Apex rotation modified to account for Heat Rises (2 dash), added FAQ, Bosses, and Historical tabs.</t>
  </si>
  <si>
    <t>Frequently Asked Questions</t>
  </si>
  <si>
    <t>Arc Soul team damage</t>
  </si>
  <si>
    <t>Is Arc Soul worth sacrificing Needlestorm for?</t>
  </si>
  <si>
    <t>Needlestorm does ~470K damage. A team of six Arc Souls (5 base, 1 amplified) does ~33K DPS. Therefore, Arc Souls compensate for the damage loss of a missing Needlestorm in around 14 seconds. However, there are two things to consider. One, Stormcaller does not have a rocket reload assist like Broodweaver does. Two, it's not as if a Stormcaller would be sitting there doing nothing while a Broodweaver is casting Needlestorm — they could be casting a Chaos Reach or shooting rockets, which narrows the gap considerably.</t>
  </si>
  <si>
    <t>BnS Cataclysmic</t>
  </si>
  <si>
    <t>Is using Enhanced Bait and Switch on Cataclysmic worth it?</t>
  </si>
  <si>
    <t>If you are using Cataclysmic with a reload enhancer (Rain of Fire / reload dodge), then yes. Enhanced FTTC allows you to proc it 3 times per mag, since the last 2 shots of your previous mag count towards FTTC combined with the first two shots of your next mag, leading to 12 shots per mag, which makes the extended BnS duration worth using (see the attached video).</t>
  </si>
  <si>
    <t>BnS first shot</t>
  </si>
  <si>
    <t>Does Bait and Switch affect the shot that activates it?</t>
  </si>
  <si>
    <r>
      <rPr>
        <sz val="10"/>
        <color rgb="FF000000"/>
        <rFont val="Arial"/>
      </rPr>
      <t xml:space="preserve">It depends. If a Bait and Switch weapon is the one to activate Bait and Switch, people typically think that, because the timer has not started and the damage number appears to be an unbuffed one, it is not active. However, in solo instances, the game actually does do the BnS damage to the enemy, meaning that BnS is effectively a flat 35% perk for all shots if used correctly. In the attached video, see that both rocket shots do approximately the same amount to the health bar despite the first shot being the activation condition (the difference between both shots' damage can be attributed to the ~7500 DDT damage error against Templar, 1 pixel's worth). </t>
    </r>
    <r>
      <rPr>
        <sz val="10"/>
        <color rgb="FF000000"/>
        <rFont val="Arial"/>
      </rPr>
      <t>In team settings, however, BnS does not seem to affect the first shot due to instance activity, which likely resulted in the 29% buff value you see in the Wolfpacks tab rather than a full 35.</t>
    </r>
  </si>
  <si>
    <t>BnS timing</t>
  </si>
  <si>
    <t>How long do you have to activate Bait and Switch?</t>
  </si>
  <si>
    <t>About 7 seconds between each weapon (14s total). No, this does not mean you can shoot weapon 1, wait 1 second, shoot weapon 2, wait 13 seconds, then shoot your Bait weapon. Additionally, you can infinitely store Bait and Switch prep by repeatedly tapping your second weapon without ever going back to your first weapon, provided you initially shot your second weapon within 7 seconds of firing the first. Finally, you can't start shooting weapons to reproc Bait and Switch until its timer is out.</t>
  </si>
  <si>
    <t>Boss health</t>
  </si>
  <si>
    <t>How do you calculate boss health precisely?</t>
  </si>
  <si>
    <t>See linked spreadsheet. Basically, I shoot a boss a bunch with a weapon I know does consistent, non-inflated health bar damage, and then I plot visual against true health bar damage and create a line of best fit, which I then use to find the full health value.</t>
  </si>
  <si>
    <t>Broodweaver exotics</t>
  </si>
  <si>
    <t>Can I use Necrotic Grips instead of Ophidian Aspect for Broodweaver rotations? What about Unravel?</t>
  </si>
  <si>
    <t>Both are insignificant damage increases in the grand scheme of things but they aren't a bad idea for one person to use. I opted to leave them out since they are limited to one person and aren't noticeable damage increases.</t>
  </si>
  <si>
    <t>Cluster Bomb</t>
  </si>
  <si>
    <t>How much damage does Cluster Bomb add to a rocket?</t>
  </si>
  <si>
    <t>On Templar, each cluster does 334+1669 damage. Assuming all 8 clusters hit, that's 16024 extra damage on top of a base value of 72339, which comes out to an increase of ~22.15%.</t>
  </si>
  <si>
    <t>Debuff extension</t>
  </si>
  <si>
    <t>How does debuff extension work?</t>
  </si>
  <si>
    <t>Timer-based full debuffs (30%) like Tractor and Felwinter's can have their timers refreshed by the application of a timer-based weaken, including Echo of Undermining grenades and Snare Bomb. This interaction does not work with either Tether, since the debuff applied by those supers does not seem to apply as a timed status effect, but rather by a consistent connection to the Tether object itself.</t>
  </si>
  <si>
    <t>Double vs. triple swaps</t>
  </si>
  <si>
    <t>How much damage loss is not using a third weapon in an Izi rocket rotation?</t>
  </si>
  <si>
    <t>With how little your third weapon (GL/slug/sniper) makes up these days, in an Izi/slug/Apex Broodweaver rotation, you lose something like 4% of your damage by not using a third weapon, but having a third fill is still important while you're waiting for your rocket to load.</t>
  </si>
  <si>
    <t>Double special nerf</t>
  </si>
  <si>
    <t>Is double special "dead"?</t>
  </si>
  <si>
    <t>Absolutely not. The original appeal of double special has never been about getting extra heavy drops — that's just a cherry on top of a mountainous cake. The real reason double special is the most effective loadout in the game is that it is a no compromise loadout with little to no consequences. Special weapons all do higher DPS than primaries and fill legitimate niches (splash damage, crowd control, burst damage), but legendary primaries all amount to "trace rifle but worse" and provide zero unique utility. While exotic primaries can be exceptions when they fill a certain role better than any special can (ie. Lumina, Trinity Ghoul, Malfeasance), equipping a primary is by and large crippling one third (or more) of your loadout for no real benefit.
While double special will be harder to play in solo content, team environments have plenty of options to force ammo generation in the form of Aeon exotics and Cenotaph Mask. On top of this, the post-3.0 sandbox has also given every single class in the game a zero ammo efficient add clear subclass option, in the form of Sunbracers Dawnblade, Synthoceps Sunbreaker, and Cowl Arcstrider, eliminating the need for ammo use for most interactions in the first place. The only change this update created is that it widened the gap between players who are and aren't comfortable using double special. If you were fine with it before and understand the juggler effect, you'll be fine now. If you were uncomfortable and reliant on primaries before, you'll have an even harder time transitioning to double special now.</t>
  </si>
  <si>
    <t>Duality</t>
  </si>
  <si>
    <t>Is Duality worth using in the context of slug swapping?</t>
  </si>
  <si>
    <t>Given that the standard double slug rocket rotation doesn't use any exotics, using Duality in place of Sojourner's Tale actually boosts damage by about 10% per shot against Frenzy Sojourner's with Boss Spec. On top of this, in certain boss phases, you can proc On Black Wings and refresh it during damage through precision hits on the boss.</t>
  </si>
  <si>
    <t>Frame-based damage</t>
  </si>
  <si>
    <t>How much are certain damage sources affected by FPS?</t>
  </si>
  <si>
    <t>Health bar-wise, not at all. This includes Leviathan's Breath, Touch of Thunder storm grenades, Anarchy, and Wolfpack rockets, tested at 30 (capped) to 150 (uncapped). When others have found that the game reports lower wipe screen numbers, this is likely because the game counts damage ticks on a per-frame basis, whereas the instance itself actually calculates damage values at its own rate.</t>
  </si>
  <si>
    <t>Frontloaded health bars</t>
  </si>
  <si>
    <t>Are bosses "frontloaded" in health?</t>
  </si>
  <si>
    <t>No. Based on extensive testing across every raid and dungeon boss in the game, not a single boss has a health bar that is not uniformly distributed.</t>
  </si>
  <si>
    <t>GL swap options</t>
  </si>
  <si>
    <t>Empty Vessel with surges or Wilderflight without surges?</t>
  </si>
  <si>
    <t>Wilderflight does ~31% more damage per shot than Empty Vessel, which is more than the 22% from three solar surges.</t>
  </si>
  <si>
    <t>Golden Gun buffing</t>
  </si>
  <si>
    <t>Does Well override Radiant for Golden Gun purposes? What about kinetic surges?</t>
  </si>
  <si>
    <t>Yes. Stay outside a Well if you want to do full Golden Gun damage! As for kinetic surges, they are patched and no longer stack with Golden Gun! Finally, Lumina also overrides the Radiant buff for Golden Gun :(</t>
  </si>
  <si>
    <t>Kinetic Tremors</t>
  </si>
  <si>
    <t>How much damage does Kinetic Tremors add to The Supremacy? Does it scale with player count and buffs/debuffs/surges?</t>
  </si>
  <si>
    <t>If we're talking per shot damage, two shots proc three shockwaves, each dealing 41.11% of a precision shot, resulting in a ~61.7% damage perk for each shot. Yes, it scales with buffs/debuffs/surges, but it does not stack with other players — only one KT user per team.</t>
  </si>
  <si>
    <t>Nanotech Tracer Rockets</t>
  </si>
  <si>
    <t>How much does Nanotech Tracer Rockets affect the damage of a weapon?</t>
  </si>
  <si>
    <t>For every 3 Dimensional shots at 26623 damage each, one 5102 damage rocket is shot, resulting in approximately 6.4% more damage. This rocket's damage scales with perks, buffs, and debuffs!</t>
  </si>
  <si>
    <t>No Backup Plans</t>
  </si>
  <si>
    <t>Is No Backup Plans worth it for shotgun swapping or Acrius?</t>
  </si>
  <si>
    <t>No. The lack of a damage super and the inability to stack Force Multiplier with other global buffs holds NBP back from being notable.</t>
  </si>
  <si>
    <t>Pack Hunter multiplier</t>
  </si>
  <si>
    <t>How much damage does Pack Hunter add to legendary rockets?</t>
  </si>
  <si>
    <t>See the Wolfpacks tab of this spreadsheet. In short, Pack Hunter is approximately an 25-30% buff to base rocket damage. However, not all perks are multiplied and treated the same — see the tab for more info.</t>
  </si>
  <si>
    <t>Pyrogale vs. Cuirass</t>
  </si>
  <si>
    <t>Are Pyrogale Gauntlets better than Cuirass Thundercrash?</t>
  </si>
  <si>
    <t>Situational. On certain bosses, Pyrogale outperforms Cuirass with or without a swap, coming in at 840K and 574K with and without Biotic (which is now patched) compared to Cuirass' 457K. However, on other bosses, Pyrogale actually hit for less then Thundercrash, even with a Synthoceps swap. Given the conditions required to make Pyrogale work, as well as its likely inability to stack scorch ticks from its lingering cyclones, this super exotic combination will likely remain a niche solo damage or boss-specific damage strategy.</t>
  </si>
  <si>
    <t>Reconstruction manual reload</t>
  </si>
  <si>
    <t>Is it worth waiting for Reconstruction to kick in after manually reloading a rocket in order to shoot 2 instead of just 1?</t>
  </si>
  <si>
    <t>No, since waiting for Reconstruction requires you to sit for 3.5 seconds after your last rocket fired, and then you still have to deal with the intrinsic rocket firing delay of 1.166s (for an adaptive frame), which is higher than just manually reloading twice (2 x 2.233).</t>
  </si>
  <si>
    <t>Rocket rotation surges</t>
  </si>
  <si>
    <t>What surge distribution should I use for rocket DPS?</t>
  </si>
  <si>
    <t>If you're using Izi, 2 rocket 1 kinetic. If you're on something like Lumina, 3 rocket. If you're on Hunter and it's a short phase, then 1 rocket 2 kinetic.</t>
  </si>
  <si>
    <t>Rockets without Gjally</t>
  </si>
  <si>
    <t>How viable is a rotation like Izi slug Apex if you have no Pack Hunter?</t>
  </si>
  <si>
    <t>See the Ranking tab — rocket rotations are still good without Pack Hunter, but not chart-topping like they are without (~14% DPS loss for Izi slug Apex).</t>
  </si>
  <si>
    <t>Shotgun swaps</t>
  </si>
  <si>
    <t>Double slug or double pellet? What about rapid fire shotguns?</t>
  </si>
  <si>
    <t>Depends on the boss! Swap component-wise with no perk, slugs are at 95187 DPS, while pellets are at 98213 DPS (lightweight, crit). Once you account for perks available on both archetypes, they're pretty close to equal. And yes, the other pellet frames are worse, with rapids at 93493 DPS and aggressive swapping at 88463 DPS.</t>
  </si>
  <si>
    <t>Trench Barrel</t>
  </si>
  <si>
    <t>Is meleeing to proc Trench Barrel damage loss? If not, what is the effective DPS change?</t>
  </si>
  <si>
    <r>
      <rPr>
        <u/>
        <sz val="10"/>
        <color rgb="FF000000"/>
        <rFont val="Arial"/>
      </rPr>
      <t>Archetype: melee-3 shots / 3 shots, Trench / base DPS</t>
    </r>
    <r>
      <rPr>
        <sz val="10"/>
        <color rgb="FF000000"/>
        <rFont val="Arial"/>
      </rPr>
      <t xml:space="preserve">
Rapid fire: 2.016s / 1.299s, 43527 / 45035 
Lightweight: 2.833s / 2.199s, 39356 / 33802
Aggressive: 3.766s / 3.3s, 35938 / 27342
Legend of Acrius: 3.783s / 3.549s, 69252 / 49212</t>
    </r>
  </si>
  <si>
    <t>Triple rocket options</t>
  </si>
  <si>
    <t>Are Radiant Dance Machines or Rain of Fire better/faster for rocket spam? What about The Dragon's Shadow and Whisper of Impetus?</t>
  </si>
  <si>
    <t>Time to shoot 3 rockets:
RDM: 1.366 + 1.366 = 2.732s
RoF: 1.183 + 1.183 = 2.366s
TDS: 2.383s (Lunafactions reload)
Reconstruction + Impetus: 1.183 + 1.183 = 2.366s</t>
  </si>
  <si>
    <t>True damage</t>
  </si>
  <si>
    <t>Why do your results not line up with the values other content creators have produced? Why is there a difference between health bar and wipe screen testing?</t>
  </si>
  <si>
    <t>My testing is performed on Templar, a raid boss with standard multipliers. If a test was performed on The Conflux lost sector "boss," value scaling may be different. In addition, there are many factors in this game that can cause inaccurate wipe screen values, from mechanics to certain weapons and abilities overloading the game's ability to count damage correctly. What you see is not what you get: the Ratio column in the Damage tab proves this by measuring the health bar pixels of the boss depleted compared to the game's "perceived" damage on the wipe screen.</t>
  </si>
  <si>
    <t>Two-Tailed Fox surges</t>
  </si>
  <si>
    <t>How does Two-Tailed Fox interact with surges?</t>
  </si>
  <si>
    <t>No surges: 109169
3x void: 129920 (+19%)
1x arc, 1x solar, 1x void: 109138 (???)</t>
  </si>
  <si>
    <t>Volatile Retrofit</t>
  </si>
  <si>
    <t>How much damage do Volatile Rounds add to Retrofit Escapade now?</t>
  </si>
  <si>
    <t>~5.2%, which is not worth the damage loss of making yourself invisible beforehand or swapping your exotic.</t>
  </si>
  <si>
    <t>Weavewalk</t>
  </si>
  <si>
    <t>Is Weavewalk worth using with Rain of Fire for reloading rockets?</t>
  </si>
  <si>
    <t>Generally no, the animation is too slow (slower than a dash or Ascent reload, and approaching reloading at ~1.8s).</t>
  </si>
  <si>
    <t>Well damage conversion</t>
  </si>
  <si>
    <t>Why do I not receive certain buffs or stacking when I do damage in my Well?</t>
  </si>
  <si>
    <t>Well of Radiance converts the caster's weapon damage to super damage while standing in said Well, which can be beneficial in some ways (for example, super damage pierces all shields, which gave Well pseudo anti-Barrier before the Radiant changes) and annoying in others (Focused Light not working, Ballidorse buff not stacking).</t>
  </si>
  <si>
    <t>#</t>
  </si>
  <si>
    <t>Pic</t>
  </si>
  <si>
    <t>Role</t>
  </si>
  <si>
    <t>Name</t>
  </si>
  <si>
    <t>Column 1</t>
  </si>
  <si>
    <t>Column 2</t>
  </si>
  <si>
    <t>Perk 1</t>
  </si>
  <si>
    <t>Perk 2</t>
  </si>
  <si>
    <t>Notes</t>
  </si>
  <si>
    <t>Main</t>
  </si>
  <si>
    <t>Apex Predator</t>
  </si>
  <si>
    <t>Quick Launch</t>
  </si>
  <si>
    <t>Impact Casing</t>
  </si>
  <si>
    <t>Reconstruction</t>
  </si>
  <si>
    <t>Bait and Switch
Surrounded</t>
  </si>
  <si>
    <t>Best overall source of weapon damage in the game</t>
  </si>
  <si>
    <t>Ability</t>
  </si>
  <si>
    <t>Celestial Nighthawk</t>
  </si>
  <si>
    <t>/</t>
  </si>
  <si>
    <t>Good if kinetic surges are viable (no Pack) or pre-cast is an option</t>
  </si>
  <si>
    <t>Cuirass of the Falling Star</t>
  </si>
  <si>
    <t>Good for bosses with bad crit + projectile hitreg issues (Atraks)</t>
  </si>
  <si>
    <t>Misc</t>
  </si>
  <si>
    <t>Gjallarhorn</t>
  </si>
  <si>
    <t>Fixed</t>
  </si>
  <si>
    <t>Most important DPS component in any team</t>
  </si>
  <si>
    <t>Filler</t>
  </si>
  <si>
    <t>Izanagi's Burden</t>
  </si>
  <si>
    <t>Loses DPS against shotgun dumping but hone time is great for filling ALH/Recon downtime</t>
  </si>
  <si>
    <t>Lumina</t>
  </si>
  <si>
    <t>Portable 35% buff for 10s for ally and shooter</t>
  </si>
  <si>
    <t>Reload</t>
  </si>
  <si>
    <t>Lunafaction Boots</t>
  </si>
  <si>
    <t>Necessary for most shotgun damage bosses</t>
  </si>
  <si>
    <t>QoL</t>
  </si>
  <si>
    <t>Ophidian Aspect</t>
  </si>
  <si>
    <t>Warlock's best general swap exotic given no good super damage exotic</t>
  </si>
  <si>
    <t>Parasite</t>
  </si>
  <si>
    <t>Preshooting projectile into sky and swapping is useful for maximizing burst damage on phase start</t>
  </si>
  <si>
    <t>Radiant Dance Machines</t>
  </si>
  <si>
    <t>Best rocket dump option across all classes</t>
  </si>
  <si>
    <t>Rain of Fire</t>
  </si>
  <si>
    <t>Like The Dragon's Shadow but better, excellent for bypassing weapons with no ALH or slow reloads</t>
  </si>
  <si>
    <t>Star-Eater Scales</t>
  </si>
  <si>
    <t>Free +70% to some of the best damage supers in the game</t>
  </si>
  <si>
    <t>The Fourth Horseman</t>
  </si>
  <si>
    <t>Suffers from lack of ALH, but noticeably higher DPS than Izi</t>
  </si>
  <si>
    <t>Tractor Cannon</t>
  </si>
  <si>
    <t>Like Apex; most generally applicable debuff, even if specialized option (Felwinter's) exists</t>
  </si>
  <si>
    <t>Wilderflight</t>
  </si>
  <si>
    <t>Spike Grenades</t>
  </si>
  <si>
    <t>Auto-Loading Holster</t>
  </si>
  <si>
    <t>Frenzy
Vorpal Weapon</t>
  </si>
  <si>
    <t>Double fire frame provides a free ~31% boost over lightweights, pushing this thing PAST per shot slug damage</t>
  </si>
  <si>
    <t>Stack</t>
  </si>
  <si>
    <t>Ballidorse Wrathweavers</t>
  </si>
  <si>
    <t>Paired with Cold Comfort to provide the highest rocket burst in the game</t>
  </si>
  <si>
    <t>Cold Comfort</t>
  </si>
  <si>
    <t>Envious Assassin</t>
  </si>
  <si>
    <t>Bait and Switch</t>
  </si>
  <si>
    <t>Specialized for extreme burst in setup-friendly environments</t>
  </si>
  <si>
    <t>Distant Tumulus</t>
  </si>
  <si>
    <t>Fluted Barrel</t>
  </si>
  <si>
    <t>Tactical Mag</t>
  </si>
  <si>
    <t>Clown Cartridge</t>
  </si>
  <si>
    <t>Firing Line</t>
  </si>
  <si>
    <t>Generally the best rapid-fire DPS sniper</t>
  </si>
  <si>
    <t>Beats out Frenzy Sojourner's by 10% per shot at the cost of your exotic slot and no ALH</t>
  </si>
  <si>
    <t>Debuff</t>
  </si>
  <si>
    <t>Felwinter's Helm</t>
  </si>
  <si>
    <t>Debuff option with lowest damage loss, but extremely situational</t>
  </si>
  <si>
    <t>Foetracer</t>
  </si>
  <si>
    <t>Good swap option for hunters if RDMs aren't needed for whatever reason</t>
  </si>
  <si>
    <t>Heritage</t>
  </si>
  <si>
    <t>Assault Mag</t>
  </si>
  <si>
    <t>Recombination</t>
  </si>
  <si>
    <t>Outperforms Fortissimo until ~7 shots in</t>
  </si>
  <si>
    <t>IKELOS_SG_V1.0.3</t>
  </si>
  <si>
    <t>Barrel Shroud</t>
  </si>
  <si>
    <t>Grave Robber</t>
  </si>
  <si>
    <t>Surrounded
Cascade Point
Vorpal Weapon</t>
  </si>
  <si>
    <t>Slightly surpasses slug swapping with enhanced Surrounded</t>
  </si>
  <si>
    <t>Mindbender's Ambition</t>
  </si>
  <si>
    <t>Threat Detector</t>
  </si>
  <si>
    <t>Vorpal Weapon</t>
  </si>
  <si>
    <t>Regular pellet swaps</t>
  </si>
  <si>
    <t>Ragnhild-D</t>
  </si>
  <si>
    <t>Frenzy</t>
  </si>
  <si>
    <t>Until Its Return</t>
  </si>
  <si>
    <t>Would've been really good if it was kinetic</t>
  </si>
  <si>
    <t>Verity's Brow</t>
  </si>
  <si>
    <t>Lowers almost any grenade cooldown enough to be usable in DPS phases</t>
  </si>
  <si>
    <t>Wastelander M5</t>
  </si>
  <si>
    <t>Doesn't matter</t>
  </si>
  <si>
    <t>Vorpal Weapon
One-Two Punch</t>
  </si>
  <si>
    <t>Decent alternative to Riiswalker with One-Two Punch and worse draw animation</t>
  </si>
  <si>
    <t>Without Remorse</t>
  </si>
  <si>
    <t>Field Prep
Threat Detector</t>
  </si>
  <si>
    <t>Interchangeable with Xenoclast, just no ALH</t>
  </si>
  <si>
    <t>Buff</t>
  </si>
  <si>
    <t>Boots of the Assembler</t>
  </si>
  <si>
    <t>Niche alternative to using Lumina</t>
  </si>
  <si>
    <t>Briarbinds</t>
  </si>
  <si>
    <t>Infinite 30% debuff extension</t>
  </si>
  <si>
    <t>Cataphract GL3</t>
  </si>
  <si>
    <t>Bait and Switch
Cascade Point</t>
  </si>
  <si>
    <t>Low fireteam count burst damage</t>
  </si>
  <si>
    <t>Dead Weight</t>
  </si>
  <si>
    <t>Auto-Loading Holster
Field Prep</t>
  </si>
  <si>
    <t>Surrounded
Vorpal Weapon
Trench Barrel</t>
  </si>
  <si>
    <t>Underrated rapid-fire option with ALH, but without enhanced Surrounded</t>
  </si>
  <si>
    <t>Empty Vessel</t>
  </si>
  <si>
    <t>Worse than Wilderflight but doesn't have double fire spread, only saved by surge matching Apex</t>
  </si>
  <si>
    <t>Fortissimo-11</t>
  </si>
  <si>
    <t>Threat Detector
Fourth Time's the Charm</t>
  </si>
  <si>
    <t>Frenzy
Surrounded
Vorpal Weapon</t>
  </si>
  <si>
    <t>Outdone by Heritage given most phase lengths, on top of having a 5 mag</t>
  </si>
  <si>
    <t>Heart of Inmost Light</t>
  </si>
  <si>
    <t>Titan's best grenade damage exotic, even post-nerf</t>
  </si>
  <si>
    <t>IKELOS_SR_V1.0.3</t>
  </si>
  <si>
    <t>Fourth Time's the Charm</t>
  </si>
  <si>
    <t>Focused Fury</t>
  </si>
  <si>
    <t>Tumulus equivalent with worse damage perks but Fourth Time's the Charm</t>
  </si>
  <si>
    <t>Imperial Decree</t>
  </si>
  <si>
    <t>Trench Barrel
Surrounded</t>
  </si>
  <si>
    <t>Trench swaps on certain loadouts</t>
  </si>
  <si>
    <t>Koraxis's Distress</t>
  </si>
  <si>
    <t>Surrounded</t>
  </si>
  <si>
    <t>Lucky Pants</t>
  </si>
  <si>
    <t>Niche option for flattening out total damage with Malfeasance</t>
  </si>
  <si>
    <t>Malfeasance</t>
  </si>
  <si>
    <t>Good situational burst paired with Lucky Pants</t>
  </si>
  <si>
    <t>Surges</t>
  </si>
  <si>
    <t>Mask of Bakris</t>
  </si>
  <si>
    <t>Extremely niche quad surge source for Horseman damage</t>
  </si>
  <si>
    <t>Merciless</t>
  </si>
  <si>
    <t>Niche ammo-restricted burst damage</t>
  </si>
  <si>
    <t>Necrotic Grip</t>
  </si>
  <si>
    <t>Small damage bump from one player in a team with multiple Broodweavers, also updates boss health</t>
  </si>
  <si>
    <t>Nessa's Oblation</t>
  </si>
  <si>
    <t>Very good slug, just the wrong affinity (no good void rockets right now), pairs well with Tractor</t>
  </si>
  <si>
    <t>Riiswalker</t>
  </si>
  <si>
    <t>Quickdraw</t>
  </si>
  <si>
    <t>Best kinetic lightweight swap option</t>
  </si>
  <si>
    <t>Salvager's Salvo</t>
  </si>
  <si>
    <t>Demolitionist</t>
  </si>
  <si>
    <t>Used rarely in grenade DPS rotations while waiting for rocket downtime</t>
  </si>
  <si>
    <t>Seventh Seraph CQC-12</t>
  </si>
  <si>
    <t>Similar to Xenoclast and Remorse, just less farmable</t>
  </si>
  <si>
    <t>Sojourner's Tale</t>
  </si>
  <si>
    <t>Frenzy
Surrounded</t>
  </si>
  <si>
    <t>Matches Apex affinity, good but not hugely detrimental if replaced by a substitute</t>
  </si>
  <si>
    <t>The Comedian</t>
  </si>
  <si>
    <t>Ensemble</t>
  </si>
  <si>
    <t>Pellet swaps on Tractor</t>
  </si>
  <si>
    <t>The Dragon's Shadow</t>
  </si>
  <si>
    <t>Provides hunter with a high cooldown triple rocket option that is faster than RDM</t>
  </si>
  <si>
    <t>The Sixth Coyote</t>
  </si>
  <si>
    <t>Used for successive reloads when there are no nearby adds for RDM procs</t>
  </si>
  <si>
    <t>The Supremacy</t>
  </si>
  <si>
    <t>Appended Mag</t>
  </si>
  <si>
    <t>Rewind Rounds</t>
  </si>
  <si>
    <t>The only refreshable ranged legendary burst option in its slot</t>
  </si>
  <si>
    <t>Witherhoard</t>
  </si>
  <si>
    <t>Mostly phased out in team DPS settings where options like Izi do more damage and can be stacked</t>
  </si>
  <si>
    <t>Xenoclast IV</t>
  </si>
  <si>
    <t>Interchangeable with Remorse, just harder to farm and doesn't match Apex surge</t>
  </si>
  <si>
    <t>Icon</t>
  </si>
  <si>
    <t>Type</t>
  </si>
  <si>
    <t>Subtype</t>
  </si>
  <si>
    <t>Modifiers</t>
  </si>
  <si>
    <t>Wipe</t>
  </si>
  <si>
    <t>Count</t>
  </si>
  <si>
    <t>%</t>
  </si>
  <si>
    <t>Actual</t>
  </si>
  <si>
    <t>Ratio</t>
  </si>
  <si>
    <t>Deviations</t>
  </si>
  <si>
    <t>Bow</t>
  </si>
  <si>
    <t>Leviathan's Breath</t>
  </si>
  <si>
    <t>Fusion rifle</t>
  </si>
  <si>
    <t>Adaptive frame</t>
  </si>
  <si>
    <t>Base</t>
  </si>
  <si>
    <t>Charge MW, Accelerated Coils, Kill Clip, Controlled Burst</t>
  </si>
  <si>
    <t>Charge MW, Accelerated Coils, Rewind Rounds, Controlled Burst</t>
  </si>
  <si>
    <t>Bastion</t>
  </si>
  <si>
    <t>High-impact frame</t>
  </si>
  <si>
    <t>Charge MW, Controlled Burst</t>
  </si>
  <si>
    <t>Conserve Momentum, full mag</t>
  </si>
  <si>
    <t>Conserve Momentum, Impetus, full mag</t>
  </si>
  <si>
    <t>One Thousand Voices</t>
  </si>
  <si>
    <t>Ember of Ashes</t>
  </si>
  <si>
    <t>Precision frame</t>
  </si>
  <si>
    <t>Rapid-fire frame</t>
  </si>
  <si>
    <t>Charge MW</t>
  </si>
  <si>
    <t>Charge MW, Accelerated Coils</t>
  </si>
  <si>
    <t>Charge MW, Liquid Coils</t>
  </si>
  <si>
    <t>Chill Clip, average per shot</t>
  </si>
  <si>
    <t>Tessellation</t>
  </si>
  <si>
    <t>Property: Irreducible</t>
  </si>
  <si>
    <t>Glaive</t>
  </si>
  <si>
    <t>Melee</t>
  </si>
  <si>
    <t>Winterbite</t>
  </si>
  <si>
    <t>Projectile</t>
  </si>
  <si>
    <t>Grenade launcher (breech)</t>
  </si>
  <si>
    <t>Double fire</t>
  </si>
  <si>
    <t>Ex Diris</t>
  </si>
  <si>
    <t>Lightweight frame</t>
  </si>
  <si>
    <t>Spike Grenades, stowed</t>
  </si>
  <si>
    <t>The Mountaintop</t>
  </si>
  <si>
    <t>Wave frame</t>
  </si>
  <si>
    <t>Direct impact</t>
  </si>
  <si>
    <t>Ground pool</t>
  </si>
  <si>
    <t>Grenade launcher (drum)</t>
  </si>
  <si>
    <t>Anarchy</t>
  </si>
  <si>
    <t>Two traps</t>
  </si>
  <si>
    <t>Compressed wave frame</t>
  </si>
  <si>
    <t>Worm's Hunger x20</t>
  </si>
  <si>
    <t>Quick Launch, Spike Grenades</t>
  </si>
  <si>
    <t>Volatile Launch, High-Explosive Ordnance</t>
  </si>
  <si>
    <t>The Prospector</t>
  </si>
  <si>
    <t>Full mag, direct impact detonations</t>
  </si>
  <si>
    <t>Explosive Light, Spike Grenades</t>
  </si>
  <si>
    <t>Hand cannon</t>
  </si>
  <si>
    <t>17 shot burst, Illegally Modded Holster</t>
  </si>
  <si>
    <t>Warden's Law</t>
  </si>
  <si>
    <t>13 bursts, Illegally Modded Holster</t>
  </si>
  <si>
    <t>Linear fusion rifle</t>
  </si>
  <si>
    <t>Aggressive frame</t>
  </si>
  <si>
    <t>Charge MW, Base</t>
  </si>
  <si>
    <t>Sleeper Simulant</t>
  </si>
  <si>
    <t>Machine gun</t>
  </si>
  <si>
    <t>Grand Overture</t>
  </si>
  <si>
    <t>Missiles Loaded x20, Volley Ready</t>
  </si>
  <si>
    <t>Heir Apparent</t>
  </si>
  <si>
    <t>Full mag</t>
  </si>
  <si>
    <t>Fourth Time's the Charm, e. Target Lock, Gyrfalcon's Hauberk, full mag w/ Extended Mag</t>
  </si>
  <si>
    <t>Fourth Time's the Charm, Enhanced Target Lock, full mag w/ Extended Mag</t>
  </si>
  <si>
    <t>Thunderlord</t>
  </si>
  <si>
    <t>Full reserves, Actium War Rig</t>
  </si>
  <si>
    <t>Xenophage</t>
  </si>
  <si>
    <t>Rocket launcher</t>
  </si>
  <si>
    <t>Deathbringer</t>
  </si>
  <si>
    <t>Max height on all seven projectiles</t>
  </si>
  <si>
    <t>Dragon's Breath</t>
  </si>
  <si>
    <t>Composite Propellant x5</t>
  </si>
  <si>
    <t>Eyes of Tomorrow</t>
  </si>
  <si>
    <t>Adaptive Ordnance</t>
  </si>
  <si>
    <t>The Wardcliff Coil</t>
  </si>
  <si>
    <t>Truth</t>
  </si>
  <si>
    <t>Three rockets</t>
  </si>
  <si>
    <t>Two-Tailed Fox</t>
  </si>
  <si>
    <t>Shotgun</t>
  </si>
  <si>
    <t>Body</t>
  </si>
  <si>
    <t>Precision</t>
  </si>
  <si>
    <t>Conditional Finality</t>
  </si>
  <si>
    <t>Average across both shots</t>
  </si>
  <si>
    <t>Precision, slug mode</t>
  </si>
  <si>
    <t>Legend of Acrius</t>
  </si>
  <si>
    <t>Trench Barrel, three shots</t>
  </si>
  <si>
    <t>Lord of Wolves</t>
  </si>
  <si>
    <t>Release the Wolves, full mag</t>
  </si>
  <si>
    <t>Pinpoint slug frame</t>
  </si>
  <si>
    <t>Sidearm</t>
  </si>
  <si>
    <t>Devil's Ruin</t>
  </si>
  <si>
    <t>Charged laser</t>
  </si>
  <si>
    <t>Forerunner</t>
  </si>
  <si>
    <t>Rocket-assisted frame</t>
  </si>
  <si>
    <t>SMG</t>
  </si>
  <si>
    <t>Body, full mag</t>
  </si>
  <si>
    <t>Precision, full mag</t>
  </si>
  <si>
    <t>Osteo Striga</t>
  </si>
  <si>
    <t>Full mag plus poison</t>
  </si>
  <si>
    <t>Sniper rifle</t>
  </si>
  <si>
    <t>Cloudstrike</t>
  </si>
  <si>
    <t>Average per shot (including lightning strikes)</t>
  </si>
  <si>
    <t>Honed Edge x4</t>
  </si>
  <si>
    <t>Whisper of the Worm</t>
  </si>
  <si>
    <t>Focused Breathing</t>
  </si>
  <si>
    <t>Sword</t>
  </si>
  <si>
    <t>Jagged Edge, heavy</t>
  </si>
  <si>
    <t>Jagged Edge, light</t>
  </si>
  <si>
    <t>Caster frame</t>
  </si>
  <si>
    <t>Bequest</t>
  </si>
  <si>
    <t>Jagged Edge, heavy, Banner of War (2)</t>
  </si>
  <si>
    <t>Black Talon</t>
  </si>
  <si>
    <t>Heavy projectile</t>
  </si>
  <si>
    <t>Heartshadow</t>
  </si>
  <si>
    <t>Heavy attack, weaken excluded, Shot in the Dark</t>
  </si>
  <si>
    <t>Jagged Edge, heavy, aerial</t>
  </si>
  <si>
    <t>Jagged Edge, light, aerial</t>
  </si>
  <si>
    <t>The Lament</t>
  </si>
  <si>
    <t>2L1H2R, air attack</t>
  </si>
  <si>
    <t>3L1H2R, air attack</t>
  </si>
  <si>
    <t>4L1H2R, air attack</t>
  </si>
  <si>
    <t>Vortex frame</t>
  </si>
  <si>
    <t>Worldline Zero</t>
  </si>
  <si>
    <t>Temporal Sprint</t>
  </si>
  <si>
    <t>Trace rifle</t>
  </si>
  <si>
    <t>Ager's Scepter</t>
  </si>
  <si>
    <t>Will Given Form, Cenotaph Mask, fired until empty mag</t>
  </si>
  <si>
    <t>Divinity</t>
  </si>
  <si>
    <t>Perfect tapping</t>
  </si>
  <si>
    <t>Grenade</t>
  </si>
  <si>
    <t>Flux</t>
  </si>
  <si>
    <t>Spark of Shock</t>
  </si>
  <si>
    <t>Fusion</t>
  </si>
  <si>
    <t>Ember of Ashes, Touch of Flame</t>
  </si>
  <si>
    <t>Glacier</t>
  </si>
  <si>
    <t>Whisper of Fissures</t>
  </si>
  <si>
    <t>Whisper of Fissures, Touch of Winter</t>
  </si>
  <si>
    <t>Incendiary</t>
  </si>
  <si>
    <t>Lightning</t>
  </si>
  <si>
    <t>Spark of Shock, Spark of Magnitude</t>
  </si>
  <si>
    <t>Magnetic</t>
  </si>
  <si>
    <t>Chaos Accelerant</t>
  </si>
  <si>
    <t>Pulse</t>
  </si>
  <si>
    <t>Spark of Shock, Spark of Magnitude, Touch of Thunder</t>
  </si>
  <si>
    <t>Scatter</t>
  </si>
  <si>
    <t>Solar</t>
  </si>
  <si>
    <t>Ember of Ashes, Sunbracers</t>
  </si>
  <si>
    <t>Ember of Ashes, Touch of Flame, Sunbracers</t>
  </si>
  <si>
    <t>Storm</t>
  </si>
  <si>
    <t>Swarm</t>
  </si>
  <si>
    <t>Thermite</t>
  </si>
  <si>
    <t>Threadling</t>
  </si>
  <si>
    <t>Thread of Evolution</t>
  </si>
  <si>
    <t>Tripmine</t>
  </si>
  <si>
    <t>Ember of Ashes, Young Ahamkara's Spine</t>
  </si>
  <si>
    <t>Void Spike</t>
  </si>
  <si>
    <t>Echo of Remnants</t>
  </si>
  <si>
    <t>Void Wall</t>
  </si>
  <si>
    <t>Vortex</t>
  </si>
  <si>
    <t>Echo of Remnants, Chaos Accelerant</t>
  </si>
  <si>
    <t>Consecration</t>
  </si>
  <si>
    <t>Frenzied Blade</t>
  </si>
  <si>
    <t>Grapple</t>
  </si>
  <si>
    <t>Hammer Strike</t>
  </si>
  <si>
    <t>Incinerator Snap</t>
  </si>
  <si>
    <t>Monte Carlo</t>
  </si>
  <si>
    <t>Bayonet Locked</t>
  </si>
  <si>
    <t>Seismic Strike</t>
  </si>
  <si>
    <t>Shield Bash</t>
  </si>
  <si>
    <t>Throwing Hammer</t>
  </si>
  <si>
    <t>Thunderclap</t>
  </si>
  <si>
    <t>Uncharged</t>
  </si>
  <si>
    <t>Fully charged</t>
  </si>
  <si>
    <t>Miscellaneous</t>
  </si>
  <si>
    <t>Aegis</t>
  </si>
  <si>
    <t>Super</t>
  </si>
  <si>
    <t>Arc Soul</t>
  </si>
  <si>
    <t>Amplified</t>
  </si>
  <si>
    <t>Blade Barrage</t>
  </si>
  <si>
    <t>Knock Em Down, Feast of Light x4</t>
  </si>
  <si>
    <t>Bladefury</t>
  </si>
  <si>
    <t>Banner of War, Biotic Enhancements, HLLLHLLLHLLH</t>
  </si>
  <si>
    <t>Burning Maul</t>
  </si>
  <si>
    <t>Sol Invictus, Roaring Flames x3, Biotic Enhancements</t>
  </si>
  <si>
    <t>Sol Invictus, Roaring Flames x3, Pyrogale Gauntlets</t>
  </si>
  <si>
    <t>Chaos Reach</t>
  </si>
  <si>
    <t>Geomag Stabilizers</t>
  </si>
  <si>
    <t>Daybreak</t>
  </si>
  <si>
    <t>Ember of Ashes, Dawn Chorus</t>
  </si>
  <si>
    <t>Gathering Storm</t>
  </si>
  <si>
    <t>Feast of Light x4</t>
  </si>
  <si>
    <t>Glacial Quake</t>
  </si>
  <si>
    <t>Biotic Enhancements, heavy attacks, Ward of Dawn</t>
  </si>
  <si>
    <t>Biotic Enhancements, Howl of the Storm, Ward of Dawn</t>
  </si>
  <si>
    <t>Golden Gun - Marksman</t>
  </si>
  <si>
    <t>Radiant, Celestial Nighthawk</t>
  </si>
  <si>
    <t>Radiant, Feast of Light x4</t>
  </si>
  <si>
    <t>Hammer of Sol</t>
  </si>
  <si>
    <t>Needlestorm</t>
  </si>
  <si>
    <t>Nova Bomb - Cataclysm</t>
  </si>
  <si>
    <t>Nova Bomb - Vortex</t>
  </si>
  <si>
    <t>Nova Warp</t>
  </si>
  <si>
    <t>Shadowshot: Moebius Quiver</t>
  </si>
  <si>
    <t>Orpheus Rig</t>
  </si>
  <si>
    <t>Silence and Squall</t>
  </si>
  <si>
    <t>Silkstrike</t>
  </si>
  <si>
    <t>Stormtrance</t>
  </si>
  <si>
    <t>Thundercrash</t>
  </si>
  <si>
    <t>Winter's Wrath</t>
  </si>
  <si>
    <t>Ballidorse Wrathweavers, light heavy cycle</t>
  </si>
  <si>
    <t>NAME</t>
  </si>
  <si>
    <t>KINETIC</t>
  </si>
  <si>
    <t>ENERGY</t>
  </si>
  <si>
    <t>POWER</t>
  </si>
  <si>
    <t>ABILITIES</t>
  </si>
  <si>
    <t>DATA</t>
  </si>
  <si>
    <t>REFERENCE</t>
  </si>
  <si>
    <t>Name (hover for video)</t>
  </si>
  <si>
    <t>Category</t>
  </si>
  <si>
    <t>Exotic</t>
  </si>
  <si>
    <t>Perk</t>
  </si>
  <si>
    <t>Kinetic</t>
  </si>
  <si>
    <t>Surge</t>
  </si>
  <si>
    <t>Mod</t>
  </si>
  <si>
    <t>Energy</t>
  </si>
  <si>
    <t>Power</t>
  </si>
  <si>
    <t>Total</t>
  </si>
  <si>
    <t>TtE</t>
  </si>
  <si>
    <t>DPS</t>
  </si>
  <si>
    <t>Horseman Overture</t>
  </si>
  <si>
    <t>Niche</t>
  </si>
  <si>
    <t>N/A</t>
  </si>
  <si>
    <r>
      <rPr>
        <b/>
        <sz val="10"/>
        <color theme="1"/>
        <rFont val="Arial"/>
      </rPr>
      <t xml:space="preserve">Deathbringer
</t>
    </r>
    <r>
      <rPr>
        <i/>
        <sz val="10"/>
        <color theme="1"/>
        <rFont val="Arial"/>
      </rPr>
      <t>simulated</t>
    </r>
  </si>
  <si>
    <t>RDM Apex Predator</t>
  </si>
  <si>
    <t>Double pellet Koraxis</t>
  </si>
  <si>
    <r>
      <rPr>
        <b/>
        <sz val="10"/>
        <color theme="1"/>
        <rFont val="Arial"/>
      </rPr>
      <t xml:space="preserve">One Thousand Voices
</t>
    </r>
    <r>
      <rPr>
        <i/>
        <sz val="10"/>
        <color theme="1"/>
        <rFont val="Arial"/>
      </rPr>
      <t>Ember of Ashes</t>
    </r>
  </si>
  <si>
    <t>RDM Cold Comfort</t>
  </si>
  <si>
    <r>
      <rPr>
        <b/>
        <sz val="10"/>
        <color theme="1"/>
        <rFont val="Arial"/>
      </rPr>
      <t xml:space="preserve">Bequest
</t>
    </r>
    <r>
      <rPr>
        <i/>
        <sz val="10"/>
        <color theme="1"/>
        <rFont val="Arial"/>
      </rPr>
      <t>e. Surrounded</t>
    </r>
  </si>
  <si>
    <t>Double pellet Apex Predator</t>
  </si>
  <si>
    <r>
      <rPr>
        <b/>
        <sz val="10"/>
        <color theme="1"/>
        <rFont val="Arial"/>
      </rPr>
      <t xml:space="preserve">Merciless
</t>
    </r>
    <r>
      <rPr>
        <i/>
        <sz val="10"/>
        <color theme="1"/>
        <rFont val="Arial"/>
      </rPr>
      <t>Impetus</t>
    </r>
  </si>
  <si>
    <t>Izanagi GL Apex Predator</t>
  </si>
  <si>
    <t>Horseman Wendigo</t>
  </si>
  <si>
    <r>
      <rPr>
        <sz val="10"/>
        <color rgb="FF000000"/>
        <rFont val="Arial"/>
      </rPr>
      <t xml:space="preserve">Izanagi sniper Apex Predator
</t>
    </r>
    <r>
      <rPr>
        <i/>
        <sz val="10"/>
        <color rgb="FF000000"/>
        <rFont val="Arial"/>
      </rPr>
      <t>Triple rocket</t>
    </r>
  </si>
  <si>
    <t>Lightweight swapping</t>
  </si>
  <si>
    <r>
      <rPr>
        <b/>
        <sz val="10"/>
        <color rgb="FF000000"/>
        <rFont val="Arial"/>
      </rPr>
      <t xml:space="preserve">Izanagi sniper Apex Predator
</t>
    </r>
    <r>
      <rPr>
        <b/>
        <i/>
        <sz val="10"/>
        <color rgb="FF000000"/>
        <rFont val="Arial"/>
      </rPr>
      <t>3/4 surge</t>
    </r>
  </si>
  <si>
    <t>Slug swapping</t>
  </si>
  <si>
    <t>Berserker Apex</t>
  </si>
  <si>
    <t>Horseman Koraxis</t>
  </si>
  <si>
    <r>
      <rPr>
        <b/>
        <sz val="10"/>
        <color theme="1"/>
        <rFont val="Arial"/>
      </rPr>
      <t xml:space="preserve">Briar's Contempt
</t>
    </r>
    <r>
      <rPr>
        <i/>
        <sz val="10"/>
        <color theme="1"/>
        <rFont val="Arial"/>
      </rPr>
      <t>e. Surrounded</t>
    </r>
  </si>
  <si>
    <t>Horseman Hothead</t>
  </si>
  <si>
    <t>Double slug Apex Predator</t>
  </si>
  <si>
    <r>
      <rPr>
        <b/>
        <sz val="10"/>
        <color theme="1"/>
        <rFont val="Arial"/>
      </rPr>
      <t xml:space="preserve">Retrofit Escapade
</t>
    </r>
    <r>
      <rPr>
        <i/>
        <sz val="10"/>
        <color theme="1"/>
        <rFont val="Arial"/>
      </rPr>
      <t>e. Target Lock</t>
    </r>
  </si>
  <si>
    <r>
      <rPr>
        <sz val="10"/>
        <color rgb="FF000000"/>
        <rFont val="Arial"/>
      </rPr>
      <t xml:space="preserve">Izanagi GL Apex Predator
</t>
    </r>
    <r>
      <rPr>
        <i/>
        <sz val="10"/>
        <color rgb="FF000000"/>
        <rFont val="Arial"/>
      </rPr>
      <t>No Pack Hunter</t>
    </r>
  </si>
  <si>
    <t>Horseman Cataphract</t>
  </si>
  <si>
    <r>
      <rPr>
        <b/>
        <sz val="10"/>
        <color rgb="FF000000"/>
        <rFont val="Arial"/>
      </rPr>
      <t xml:space="preserve">Double pellet Gjallarhorn
</t>
    </r>
    <r>
      <rPr>
        <b/>
        <i/>
        <sz val="10"/>
        <color rgb="FF000000"/>
        <rFont val="Arial"/>
      </rPr>
      <t>Icarus Dash</t>
    </r>
  </si>
  <si>
    <t>Support</t>
  </si>
  <si>
    <r>
      <rPr>
        <b/>
        <sz val="10"/>
        <color theme="1"/>
        <rFont val="Arial"/>
      </rPr>
      <t xml:space="preserve">Ager's Scepter
</t>
    </r>
    <r>
      <rPr>
        <i/>
        <sz val="10"/>
        <color theme="1"/>
        <rFont val="Arial"/>
      </rPr>
      <t>Will Given Form</t>
    </r>
  </si>
  <si>
    <t>Cloudstrike Wendigo</t>
  </si>
  <si>
    <r>
      <rPr>
        <b/>
        <sz val="10"/>
        <color theme="1"/>
        <rFont val="Arial"/>
      </rPr>
      <t xml:space="preserve">Taipan-4fr
</t>
    </r>
    <r>
      <rPr>
        <i/>
        <sz val="10"/>
        <color theme="1"/>
        <rFont val="Arial"/>
      </rPr>
      <t>Firing Line</t>
    </r>
  </si>
  <si>
    <t>Berserker abilities</t>
  </si>
  <si>
    <r>
      <rPr>
        <b/>
        <sz val="10"/>
        <color theme="1"/>
        <rFont val="Arial"/>
      </rPr>
      <t xml:space="preserve">Cataclysmic
</t>
    </r>
    <r>
      <rPr>
        <i/>
        <sz val="10"/>
        <color theme="1"/>
        <rFont val="Arial"/>
      </rPr>
      <t>Bait and Switch</t>
    </r>
  </si>
  <si>
    <t>Berserker Horseman Bequest</t>
  </si>
  <si>
    <r>
      <rPr>
        <b/>
        <sz val="10"/>
        <color theme="1"/>
        <rFont val="Arial"/>
      </rPr>
      <t xml:space="preserve">Succession
</t>
    </r>
    <r>
      <rPr>
        <i/>
        <sz val="10"/>
        <color theme="1"/>
        <rFont val="Arial"/>
      </rPr>
      <t>Firing Line</t>
    </r>
  </si>
  <si>
    <t>Double slug Parasite</t>
  </si>
  <si>
    <t>Malfeasance Apex Predator</t>
  </si>
  <si>
    <t>Double pellet Parasite</t>
  </si>
  <si>
    <t>Warden's sniper Gjallarhorn</t>
  </si>
  <si>
    <r>
      <rPr>
        <sz val="10"/>
        <color rgb="FF000000"/>
        <rFont val="Arial"/>
      </rPr>
      <t xml:space="preserve">Double pellet Tractor
</t>
    </r>
    <r>
      <rPr>
        <i/>
        <sz val="10"/>
        <color rgb="FF000000"/>
        <rFont val="Arial"/>
      </rPr>
      <t>Gambler's Dodge</t>
    </r>
  </si>
  <si>
    <r>
      <rPr>
        <b/>
        <sz val="10"/>
        <color rgb="FF000000"/>
        <rFont val="Arial"/>
      </rPr>
      <t xml:space="preserve">Double pellet Tractor
</t>
    </r>
    <r>
      <rPr>
        <b/>
        <i/>
        <sz val="10"/>
        <color rgb="FF000000"/>
        <rFont val="Arial"/>
      </rPr>
      <t>Icarus Dash</t>
    </r>
  </si>
  <si>
    <t>Double sniper Gjallarhorn</t>
  </si>
  <si>
    <t>Witherhoard Cataclysmic</t>
  </si>
  <si>
    <t>Rarity</t>
  </si>
  <si>
    <t>Slot</t>
  </si>
  <si>
    <t>Distribution</t>
  </si>
  <si>
    <t>Cycle</t>
  </si>
  <si>
    <t>Raw</t>
  </si>
  <si>
    <t>DPS1</t>
  </si>
  <si>
    <t>DPS2</t>
  </si>
  <si>
    <r>
      <rPr>
        <sz val="10"/>
        <color theme="1"/>
        <rFont val="Arial"/>
      </rPr>
      <t xml:space="preserve">Aggressive rocket launcher
</t>
    </r>
    <r>
      <rPr>
        <i/>
        <sz val="10"/>
        <color theme="1"/>
        <rFont val="Arial"/>
      </rPr>
      <t>Pack Hunter, Slideshot + Surrounded (Crux Termination IV)</t>
    </r>
  </si>
  <si>
    <t>rocket</t>
  </si>
  <si>
    <t>Legendary</t>
  </si>
  <si>
    <t>Heavy</t>
  </si>
  <si>
    <t>1-1-1-...</t>
  </si>
  <si>
    <r>
      <rPr>
        <sz val="10"/>
        <color theme="1"/>
        <rFont val="Arial"/>
      </rPr>
      <t xml:space="preserve">Grapple melee
</t>
    </r>
    <r>
      <rPr>
        <i/>
        <sz val="10"/>
        <color theme="1"/>
        <rFont val="Arial"/>
      </rPr>
      <t>Banner of War, Biotic Enhancements, One-Two Punch</t>
    </r>
  </si>
  <si>
    <t>ability</t>
  </si>
  <si>
    <t>INF</t>
  </si>
  <si>
    <r>
      <rPr>
        <sz val="10"/>
        <color theme="1"/>
        <rFont val="Arial"/>
      </rPr>
      <t xml:space="preserve">Adaptive rocket launcher
</t>
    </r>
    <r>
      <rPr>
        <i/>
        <sz val="10"/>
        <color theme="1"/>
        <rFont val="Arial"/>
      </rPr>
      <t>e. Surrounded, Pack Hunter, Reconstruction start, Radiant Dance Machines</t>
    </r>
  </si>
  <si>
    <t>2-1-1-...</t>
  </si>
  <si>
    <r>
      <rPr>
        <sz val="10"/>
        <color theme="1"/>
        <rFont val="Arial"/>
      </rPr>
      <t xml:space="preserve">Deathbringer
</t>
    </r>
    <r>
      <rPr>
        <i/>
        <sz val="10"/>
        <color theme="1"/>
        <rFont val="Arial"/>
      </rPr>
      <t xml:space="preserve">max height on all projectiles, Radiant Dance Machines, </t>
    </r>
    <r>
      <rPr>
        <b/>
        <i/>
        <sz val="10"/>
        <color rgb="FFFF0000"/>
        <rFont val="Arial"/>
      </rPr>
      <t>simulated</t>
    </r>
  </si>
  <si>
    <r>
      <rPr>
        <sz val="10"/>
        <color theme="1"/>
        <rFont val="Arial"/>
      </rPr>
      <t xml:space="preserve">The Fourth Horseman
</t>
    </r>
    <r>
      <rPr>
        <i/>
        <sz val="10"/>
        <color theme="1"/>
        <rFont val="Arial"/>
      </rPr>
      <t>Rain of Fire, body</t>
    </r>
  </si>
  <si>
    <t>shotgun</t>
  </si>
  <si>
    <t>1533ms dash</t>
  </si>
  <si>
    <t>Special</t>
  </si>
  <si>
    <t>5-5-5</t>
  </si>
  <si>
    <r>
      <rPr>
        <sz val="10"/>
        <color theme="1"/>
        <rFont val="Arial"/>
      </rPr>
      <t xml:space="preserve">Adaptive grenade launcher
</t>
    </r>
    <r>
      <rPr>
        <i/>
        <sz val="10"/>
        <color theme="1"/>
        <rFont val="Arial"/>
      </rPr>
      <t xml:space="preserve">Spike Grenades, Envious Assassin + Cascade Point (Cataphract GL3), Rain of Fire, </t>
    </r>
    <r>
      <rPr>
        <b/>
        <i/>
        <sz val="10"/>
        <color rgb="FFFF0000"/>
        <rFont val="Arial"/>
      </rPr>
      <t>simulated</t>
    </r>
  </si>
  <si>
    <t>GL</t>
  </si>
  <si>
    <t>833ms dash</t>
  </si>
  <si>
    <t>15-4</t>
  </si>
  <si>
    <r>
      <rPr>
        <sz val="10"/>
        <color theme="1"/>
        <rFont val="Arial"/>
      </rPr>
      <t xml:space="preserve">Aggressive rocket launcher
</t>
    </r>
    <r>
      <rPr>
        <i/>
        <sz val="10"/>
        <color theme="1"/>
        <rFont val="Arial"/>
      </rPr>
      <t>Bait and Switch, Pack Hunter, Envious Assassin x15 + Restoration Ritual start, Ballidorse Wrathweavers, Radiant Dance Machines</t>
    </r>
  </si>
  <si>
    <t>4-1-1-1-...</t>
  </si>
  <si>
    <r>
      <rPr>
        <sz val="10"/>
        <color theme="1"/>
        <rFont val="Arial"/>
      </rPr>
      <t xml:space="preserve">Grapple melee
</t>
    </r>
    <r>
      <rPr>
        <i/>
        <sz val="10"/>
        <color theme="1"/>
        <rFont val="Arial"/>
      </rPr>
      <t>Banner of War, Burning Fists x5 to x1, One-Two Punch</t>
    </r>
  </si>
  <si>
    <t>3-2-4-5-7</t>
  </si>
  <si>
    <r>
      <rPr>
        <sz val="10"/>
        <color theme="1"/>
        <rFont val="Arial"/>
      </rPr>
      <t xml:space="preserve">Adaptive rocket launcher
</t>
    </r>
    <r>
      <rPr>
        <i/>
        <sz val="10"/>
        <color theme="1"/>
        <rFont val="Arial"/>
      </rPr>
      <t>Bait and Switch, Pack Hunter, Reconstruction start, Radiant Dance Machines</t>
    </r>
  </si>
  <si>
    <r>
      <rPr>
        <sz val="10"/>
        <color theme="1"/>
        <rFont val="Arial"/>
      </rPr>
      <t xml:space="preserve">Rapid-fire grenade launcher
</t>
    </r>
    <r>
      <rPr>
        <i/>
        <sz val="10"/>
        <color theme="1"/>
        <rFont val="Arial"/>
      </rPr>
      <t xml:space="preserve">Spike Grenades, Envious Assassin + Cascade Point (Marsilion-C), Rain of Fire, </t>
    </r>
    <r>
      <rPr>
        <b/>
        <i/>
        <sz val="10"/>
        <color rgb="FFFF0000"/>
        <rFont val="Arial"/>
      </rPr>
      <t>simulated</t>
    </r>
  </si>
  <si>
    <t>850ms dash</t>
  </si>
  <si>
    <t>13-5-5</t>
  </si>
  <si>
    <r>
      <rPr>
        <sz val="10"/>
        <color theme="1"/>
        <rFont val="Arial"/>
      </rPr>
      <t xml:space="preserve">Rapid-fire grenade launcher
</t>
    </r>
    <r>
      <rPr>
        <i/>
        <sz val="10"/>
        <color theme="1"/>
        <rFont val="Arial"/>
      </rPr>
      <t>Spike Grenades, Envious Assassin x15 + e. Surrounded (Koraxis' Distress)</t>
    </r>
  </si>
  <si>
    <r>
      <rPr>
        <sz val="10"/>
        <color theme="1"/>
        <rFont val="Arial"/>
      </rPr>
      <t xml:space="preserve">Malfeasance
</t>
    </r>
    <r>
      <rPr>
        <i/>
        <sz val="10"/>
        <color theme="1"/>
        <rFont val="Arial"/>
      </rPr>
      <t>Lucky Pants, 18 shot burst, blighted</t>
    </r>
  </si>
  <si>
    <t>other</t>
  </si>
  <si>
    <t>Primary</t>
  </si>
  <si>
    <r>
      <rPr>
        <sz val="10"/>
        <color theme="1"/>
        <rFont val="Arial"/>
      </rPr>
      <t xml:space="preserve">Winterbite
</t>
    </r>
    <r>
      <rPr>
        <i/>
        <sz val="10"/>
        <color theme="1"/>
        <rFont val="Arial"/>
      </rPr>
      <t xml:space="preserve">melee, Banner of War, Burning Fists x5, </t>
    </r>
    <r>
      <rPr>
        <b/>
        <i/>
        <sz val="10"/>
        <color rgb="FFFF0000"/>
        <rFont val="Arial"/>
      </rPr>
      <t>simulated</t>
    </r>
  </si>
  <si>
    <t>glaive</t>
  </si>
  <si>
    <r>
      <rPr>
        <sz val="10"/>
        <color theme="1"/>
        <rFont val="Arial"/>
      </rPr>
      <t xml:space="preserve">Adaptive grenade launcher
</t>
    </r>
    <r>
      <rPr>
        <i/>
        <sz val="10"/>
        <color theme="1"/>
        <rFont val="Arial"/>
      </rPr>
      <t>Envious Assassin + Bait and Switch (Cataphract GL3), Rain of Fire</t>
    </r>
  </si>
  <si>
    <r>
      <rPr>
        <sz val="10"/>
        <color theme="1"/>
        <rFont val="Arial"/>
      </rPr>
      <t xml:space="preserve">Adaptive rocket launcher
</t>
    </r>
    <r>
      <rPr>
        <i/>
        <sz val="10"/>
        <color theme="1"/>
        <rFont val="Arial"/>
      </rPr>
      <t>Bait and Switch, Pack Hunter, Reconstruction start, RoF with manual reloads</t>
    </r>
  </si>
  <si>
    <r>
      <rPr>
        <sz val="10"/>
        <color theme="1"/>
        <rFont val="Arial"/>
      </rPr>
      <t xml:space="preserve">The Fourth Horseman
</t>
    </r>
    <r>
      <rPr>
        <i/>
        <sz val="10"/>
        <color theme="1"/>
        <rFont val="Arial"/>
      </rPr>
      <t>Radiant Dance Machines, body</t>
    </r>
  </si>
  <si>
    <t>1866ms dodge</t>
  </si>
  <si>
    <t>5-5-5-5</t>
  </si>
  <si>
    <r>
      <rPr>
        <sz val="10"/>
        <color theme="1"/>
        <rFont val="Arial"/>
      </rPr>
      <t xml:space="preserve">Adaptive rocket launcher
</t>
    </r>
    <r>
      <rPr>
        <i/>
        <sz val="10"/>
        <color theme="1"/>
        <rFont val="Arial"/>
      </rPr>
      <t>Field Prep + Clown Cartridge, Pack Hunter, Radiant Dance Machines</t>
    </r>
  </si>
  <si>
    <t>2-2-2-...</t>
  </si>
  <si>
    <r>
      <rPr>
        <sz val="10"/>
        <color theme="1"/>
        <rFont val="Arial"/>
      </rPr>
      <t xml:space="preserve">Adaptive glaive
</t>
    </r>
    <r>
      <rPr>
        <i/>
        <sz val="10"/>
        <color theme="1"/>
        <rFont val="Arial"/>
      </rPr>
      <t xml:space="preserve">melee, Banner of War, Burning Fists x5, Close to Melee (Unexpected Resurgence), </t>
    </r>
    <r>
      <rPr>
        <b/>
        <i/>
        <sz val="10"/>
        <color rgb="FFFF0000"/>
        <rFont val="Arial"/>
      </rPr>
      <t>simulated</t>
    </r>
  </si>
  <si>
    <r>
      <rPr>
        <sz val="10"/>
        <color theme="1"/>
        <rFont val="Arial"/>
      </rPr>
      <t xml:space="preserve">Aggressive rocket launcher
</t>
    </r>
    <r>
      <rPr>
        <i/>
        <sz val="10"/>
        <color theme="1"/>
        <rFont val="Arial"/>
      </rPr>
      <t>Bipod, Pack Hunter, Envious Assassin x15 + Restoration Ritual start, Ballidorse Wrathweavers, Radiant Dance Machines</t>
    </r>
  </si>
  <si>
    <t>7-2-2-2-2</t>
  </si>
  <si>
    <r>
      <rPr>
        <sz val="10"/>
        <color theme="1"/>
        <rFont val="Arial"/>
      </rPr>
      <t xml:space="preserve">Adaptive grenade launcher
</t>
    </r>
    <r>
      <rPr>
        <i/>
        <sz val="10"/>
        <color theme="1"/>
        <rFont val="Arial"/>
      </rPr>
      <t xml:space="preserve">Envious Assassin + Explosive Light (Cataphract GL3), Rain of Fire, </t>
    </r>
    <r>
      <rPr>
        <b/>
        <i/>
        <sz val="10"/>
        <color rgb="FFFF0000"/>
        <rFont val="Arial"/>
      </rPr>
      <t>simulated</t>
    </r>
  </si>
  <si>
    <r>
      <rPr>
        <sz val="10"/>
        <color theme="1"/>
        <rFont val="Arial"/>
      </rPr>
      <t xml:space="preserve">Warden's Law
</t>
    </r>
    <r>
      <rPr>
        <i/>
        <sz val="10"/>
        <color theme="1"/>
        <rFont val="Arial"/>
      </rPr>
      <t>Vorpal Weapon, 13 bursts, Illegally Modded Holster</t>
    </r>
  </si>
  <si>
    <r>
      <rPr>
        <sz val="10"/>
        <color theme="1"/>
        <rFont val="Arial"/>
      </rPr>
      <t xml:space="preserve">Adaptive rocket launcher
</t>
    </r>
    <r>
      <rPr>
        <i/>
        <sz val="10"/>
        <color theme="1"/>
        <rFont val="Arial"/>
      </rPr>
      <t>Bait and Switch, Pack Hunter, Demolitionist with manual reloads</t>
    </r>
  </si>
  <si>
    <r>
      <rPr>
        <sz val="10"/>
        <color theme="1"/>
        <rFont val="Arial"/>
      </rPr>
      <t xml:space="preserve">Adaptive rocket launcher
</t>
    </r>
    <r>
      <rPr>
        <i/>
        <sz val="10"/>
        <color theme="1"/>
        <rFont val="Arial"/>
      </rPr>
      <t>Bipod, Pack Hunter, Reconstruction start, Radiant Dance Machines</t>
    </r>
  </si>
  <si>
    <t>4-2-2-2-2-2</t>
  </si>
  <si>
    <r>
      <rPr>
        <sz val="10"/>
        <color theme="1"/>
        <rFont val="Arial"/>
      </rPr>
      <t xml:space="preserve">Dragon's Breath
</t>
    </r>
    <r>
      <rPr>
        <i/>
        <sz val="10"/>
        <color theme="1"/>
        <rFont val="Arial"/>
      </rPr>
      <t>Radiant Dance Machines</t>
    </r>
  </si>
  <si>
    <r>
      <rPr>
        <sz val="10"/>
        <color theme="1"/>
        <rFont val="Arial"/>
      </rPr>
      <t xml:space="preserve">Pinpoint slug shotgun swapping
</t>
    </r>
    <r>
      <rPr>
        <i/>
        <sz val="10"/>
        <color theme="1"/>
        <rFont val="Arial"/>
      </rPr>
      <t>Surrounded (Fortissimo-11), Surrounded (Sojourner's Tale), Assault Mag, Rain of Fire</t>
    </r>
  </si>
  <si>
    <t>12-12-12-6</t>
  </si>
  <si>
    <t>29,805
25,917</t>
  </si>
  <si>
    <t>1.170
1.100</t>
  </si>
  <si>
    <r>
      <rPr>
        <sz val="10"/>
        <color theme="1"/>
        <rFont val="Arial"/>
      </rPr>
      <t xml:space="preserve">Leviathan's Breath
</t>
    </r>
    <r>
      <rPr>
        <i/>
        <sz val="10"/>
        <color theme="1"/>
        <rFont val="Arial"/>
      </rPr>
      <t>Archer's Tempo, Lunafaction Boots, 3x Loader</t>
    </r>
  </si>
  <si>
    <t>1583ms initial
pre-drawn</t>
  </si>
  <si>
    <r>
      <rPr>
        <sz val="10"/>
        <color theme="1"/>
        <rFont val="Arial"/>
      </rPr>
      <t xml:space="preserve">One Thousand Voices
</t>
    </r>
    <r>
      <rPr>
        <i/>
        <sz val="10"/>
        <color theme="1"/>
        <rFont val="Arial"/>
      </rPr>
      <t>Ember of Ashes, Rain of Fire</t>
    </r>
  </si>
  <si>
    <t>1000ms charge</t>
  </si>
  <si>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</si>
  <si>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Bait and Switch, Pack Hunter, Reconstruction start, manual reloads, Lunafaction Boots, 3x Loader</t>
    </r>
  </si>
  <si>
    <r>
      <rPr>
        <sz val="10"/>
        <color theme="1"/>
        <rFont val="Arial"/>
      </rPr>
      <t xml:space="preserve">Legend of Acrius
</t>
    </r>
    <r>
      <rPr>
        <i/>
        <sz val="10"/>
        <color theme="1"/>
        <rFont val="Arial"/>
      </rPr>
      <t>Trench Barrel, 3x Loader</t>
    </r>
  </si>
  <si>
    <t>1416ms m-s
1550ms s-m-s</t>
  </si>
  <si>
    <t>3-3-3-...</t>
  </si>
  <si>
    <r>
      <rPr>
        <sz val="10"/>
        <color theme="1"/>
        <rFont val="Arial"/>
      </rPr>
      <t xml:space="preserve">Bequest
</t>
    </r>
    <r>
      <rPr>
        <i/>
        <sz val="10"/>
        <color theme="1"/>
        <rFont val="Arial"/>
      </rPr>
      <t>2L1H combo, Lucent Blades x3, Jagged Edge, Relentless Strikes + e. Surrounded</t>
    </r>
  </si>
  <si>
    <t>sword</t>
  </si>
  <si>
    <t>complicated</t>
  </si>
  <si>
    <r>
      <rPr>
        <sz val="10"/>
        <color theme="1"/>
        <rFont val="Arial"/>
      </rPr>
      <t xml:space="preserve">Aggressive shotgun swapping
</t>
    </r>
    <r>
      <rPr>
        <i/>
        <sz val="10"/>
        <color theme="1"/>
        <rFont val="Arial"/>
      </rPr>
      <t>e. Surrounded (Imperial Decree), Surrounded (A Sudden Death), Assault Mag, Rain of Fire, body</t>
    </r>
  </si>
  <si>
    <t>900ms dash</t>
  </si>
  <si>
    <t>8-8-8-...</t>
  </si>
  <si>
    <t>31,221
27,149</t>
  </si>
  <si>
    <t>1.470
1.400</t>
  </si>
  <si>
    <r>
      <rPr>
        <sz val="10"/>
        <color theme="1"/>
        <rFont val="Arial"/>
      </rPr>
      <t xml:space="preserve">Winterbite
</t>
    </r>
    <r>
      <rPr>
        <i/>
        <sz val="10"/>
        <color theme="1"/>
        <rFont val="Arial"/>
      </rPr>
      <t>melee, Banner of War, Biotic Enhancements</t>
    </r>
  </si>
  <si>
    <r>
      <rPr>
        <sz val="10"/>
        <color theme="1"/>
        <rFont val="Arial"/>
      </rPr>
      <t xml:space="preserve">Lightweight sword
</t>
    </r>
    <r>
      <rPr>
        <i/>
        <sz val="10"/>
        <color theme="1"/>
        <rFont val="Arial"/>
      </rPr>
      <t>Aerial 1L1H combo, Jagged Edge, Relentless Strikes + Whirlwind Blade (Goldtusk)</t>
    </r>
  </si>
  <si>
    <t>9,165
27,495</t>
  </si>
  <si>
    <t>27,492
82,477</t>
  </si>
  <si>
    <r>
      <rPr>
        <sz val="10"/>
        <color theme="1"/>
        <rFont val="Arial"/>
      </rPr>
      <t xml:space="preserve">Merciless
</t>
    </r>
    <r>
      <rPr>
        <i/>
        <sz val="10"/>
        <color theme="1"/>
        <rFont val="Arial"/>
      </rPr>
      <t>Conserve Momentum x15, Impetus, manual reloads, Lunafaction Boots, 3x Loader</t>
    </r>
  </si>
  <si>
    <t>1466ms reload</t>
  </si>
  <si>
    <t>7-7-5</t>
  </si>
  <si>
    <t>34,507
33,050
32,175</t>
  </si>
  <si>
    <r>
      <rPr>
        <sz val="10"/>
        <color theme="1"/>
        <rFont val="Arial"/>
      </rPr>
      <t xml:space="preserve">Dimensional Hypotrochoid
</t>
    </r>
    <r>
      <rPr>
        <i/>
        <sz val="10"/>
        <color theme="1"/>
        <rFont val="Arial"/>
      </rPr>
      <t>Envious Assassin x15, Vorpal Weapon, Rain of Fire</t>
    </r>
  </si>
  <si>
    <t>916ms dash</t>
  </si>
  <si>
    <t>13-5-1</t>
  </si>
  <si>
    <r>
      <rPr>
        <sz val="10"/>
        <color theme="1"/>
        <rFont val="Arial"/>
      </rPr>
      <t xml:space="preserve">Gjallarhorn
</t>
    </r>
    <r>
      <rPr>
        <i/>
        <sz val="10"/>
        <color theme="1"/>
        <rFont val="Arial"/>
      </rPr>
      <t>Rain of Fire</t>
    </r>
  </si>
  <si>
    <r>
      <rPr>
        <sz val="10"/>
        <color theme="1"/>
        <rFont val="Arial"/>
      </rPr>
      <t xml:space="preserve">Whisper of the Worm
</t>
    </r>
    <r>
      <rPr>
        <i/>
        <sz val="10"/>
        <color theme="1"/>
        <rFont val="Arial"/>
      </rPr>
      <t>Whispered Breathing</t>
    </r>
  </si>
  <si>
    <t>sniper</t>
  </si>
  <si>
    <t>35</t>
  </si>
  <si>
    <r>
      <rPr>
        <sz val="10"/>
        <color theme="1"/>
        <rFont val="Arial"/>
      </rPr>
      <t xml:space="preserve">Rapid-fire shotgun
</t>
    </r>
    <r>
      <rPr>
        <i/>
        <sz val="10"/>
        <color theme="1"/>
        <rFont val="Arial"/>
      </rPr>
      <t>Cascade Point (IKELOS_SG_V1.0.3), Rain of Fire, body</t>
    </r>
  </si>
  <si>
    <t>816ms dash</t>
  </si>
  <si>
    <t>8-8-8-4</t>
  </si>
  <si>
    <r>
      <rPr>
        <sz val="10"/>
        <color theme="1"/>
        <rFont val="Arial"/>
      </rPr>
      <t xml:space="preserve">Lightweight shotgun swapping
</t>
    </r>
    <r>
      <rPr>
        <i/>
        <sz val="10"/>
        <color theme="1"/>
        <rFont val="Arial"/>
      </rPr>
      <t>Vorpal Weapon (Riiswalker), Vorpal Weapon (Without Remorse), Assault Mag, body</t>
    </r>
  </si>
  <si>
    <t>800ms dash</t>
  </si>
  <si>
    <t>12-12-12-...</t>
  </si>
  <si>
    <t>25,720
22,365</t>
  </si>
  <si>
    <r>
      <rPr>
        <sz val="10"/>
        <color theme="1"/>
        <rFont val="Arial"/>
      </rPr>
      <t xml:space="preserve">Rapid-fire shotgun
</t>
    </r>
    <r>
      <rPr>
        <i/>
        <sz val="10"/>
        <color theme="1"/>
        <rFont val="Arial"/>
      </rPr>
      <t>e. Surrounded (IKELOS_SG_V1.0.3), Rain of Fire, body</t>
    </r>
  </si>
  <si>
    <r>
      <rPr>
        <sz val="10"/>
        <color theme="1"/>
        <rFont val="Arial"/>
      </rPr>
      <t xml:space="preserve">Rapid-fire sniper
</t>
    </r>
    <r>
      <rPr>
        <i/>
        <sz val="10"/>
        <color theme="1"/>
        <rFont val="Arial"/>
      </rPr>
      <t>e. Rewind Rounds + e. Bait and Switch (The Supremacy), Rain of Fire</t>
    </r>
  </si>
  <si>
    <t>22-15</t>
  </si>
  <si>
    <r>
      <rPr>
        <sz val="10"/>
        <color theme="1"/>
        <rFont val="Arial"/>
      </rPr>
      <t xml:space="preserve">Bequest
</t>
    </r>
    <r>
      <rPr>
        <i/>
        <sz val="10"/>
        <color theme="1"/>
        <rFont val="Arial"/>
      </rPr>
      <t>light attacks, Lucent Blades x3, Jagged Edge, Relentless Strikes + e. Surrounded</t>
    </r>
  </si>
  <si>
    <r>
      <rPr>
        <sz val="10"/>
        <color theme="1"/>
        <rFont val="Arial"/>
      </rPr>
      <t xml:space="preserve">Aggressive shotgun
</t>
    </r>
    <r>
      <rPr>
        <i/>
        <sz val="10"/>
        <color theme="1"/>
        <rFont val="Arial"/>
      </rPr>
      <t>Cascade Point (Astral Horizon), Assault Mag, Rain of Fire, body</t>
    </r>
  </si>
  <si>
    <t>21</t>
  </si>
  <si>
    <r>
      <rPr>
        <sz val="10"/>
        <color theme="1"/>
        <rFont val="Arial"/>
      </rPr>
      <t xml:space="preserve">Pinpoint slug shotgun swapping
</t>
    </r>
    <r>
      <rPr>
        <i/>
        <sz val="10"/>
        <color theme="1"/>
        <rFont val="Arial"/>
      </rPr>
      <t>Frenzy (Fortissimo-11), Frenzy (Sojourner's Tale), Assault Mag, Rain of Fire</t>
    </r>
  </si>
  <si>
    <r>
      <rPr>
        <sz val="10"/>
        <color theme="1"/>
        <rFont val="Arial"/>
      </rPr>
      <t xml:space="preserve">Two-Tailed Fox
</t>
    </r>
    <r>
      <rPr>
        <i/>
        <sz val="10"/>
        <color theme="1"/>
        <rFont val="Arial"/>
      </rPr>
      <t>Radiant Dance Machines</t>
    </r>
  </si>
  <si>
    <r>
      <rPr>
        <sz val="10"/>
        <color theme="1"/>
        <rFont val="Arial"/>
      </rPr>
      <t xml:space="preserve">Adaptive glaive
</t>
    </r>
    <r>
      <rPr>
        <i/>
        <sz val="10"/>
        <color theme="1"/>
        <rFont val="Arial"/>
      </rPr>
      <t>melee, Banner of War, Biotic Enhancements, Close to Melee (Unexpected Resurgence)</t>
    </r>
  </si>
  <si>
    <r>
      <rPr>
        <sz val="10"/>
        <color theme="1"/>
        <rFont val="Arial"/>
      </rPr>
      <t xml:space="preserve">Pinpoint slug shotgun
</t>
    </r>
    <r>
      <rPr>
        <i/>
        <sz val="10"/>
        <color theme="1"/>
        <rFont val="Arial"/>
      </rPr>
      <t>Fourth Time's the Charm + Surrounded (Fortissimo-11), Assault Mag, Rain of Fire</t>
    </r>
  </si>
  <si>
    <t>39</t>
  </si>
  <si>
    <r>
      <rPr>
        <sz val="10"/>
        <color theme="1"/>
        <rFont val="Arial"/>
      </rPr>
      <t xml:space="preserve">Merciless
</t>
    </r>
    <r>
      <rPr>
        <i/>
        <sz val="10"/>
        <color theme="1"/>
        <rFont val="Arial"/>
      </rPr>
      <t>Conserve Momentum x15, Impetus, Radiant Dance Machines</t>
    </r>
  </si>
  <si>
    <t>2216ms dodge 1
1566ms dodge 2</t>
  </si>
  <si>
    <r>
      <rPr>
        <sz val="10"/>
        <color theme="1"/>
        <rFont val="Arial"/>
      </rPr>
      <t xml:space="preserve">Pinpoint slug shotgun
</t>
    </r>
    <r>
      <rPr>
        <i/>
        <sz val="10"/>
        <color theme="1"/>
        <rFont val="Arial"/>
      </rPr>
      <t>Reconstruction + Cascade Point (Supercluster), Assault Mag, Rain of Fire</t>
    </r>
  </si>
  <si>
    <t>12-6-3</t>
  </si>
  <si>
    <r>
      <rPr>
        <sz val="10"/>
        <color theme="1"/>
        <rFont val="Arial"/>
      </rPr>
      <t xml:space="preserve">Aggressive linear fusion rifle
</t>
    </r>
    <r>
      <rPr>
        <i/>
        <sz val="10"/>
        <color theme="1"/>
        <rFont val="Arial"/>
      </rPr>
      <t>Charge MW, Ionized Battery, e. Rewind Rounds + e. Surrounded (Briar's Contempt), Rain of Fire</t>
    </r>
  </si>
  <si>
    <t>linear</t>
  </si>
  <si>
    <t>500ms charge
1766ms dash</t>
  </si>
  <si>
    <t>13-10</t>
  </si>
  <si>
    <r>
      <rPr>
        <sz val="10"/>
        <color theme="1"/>
        <rFont val="Arial"/>
      </rPr>
      <t xml:space="preserve">Xenophage
</t>
    </r>
    <r>
      <rPr>
        <i/>
        <sz val="10"/>
        <color theme="1"/>
        <rFont val="Arial"/>
      </rPr>
      <t>Actium War Rig</t>
    </r>
  </si>
  <si>
    <t>34</t>
  </si>
  <si>
    <r>
      <rPr>
        <sz val="10"/>
        <color theme="1"/>
        <rFont val="Arial"/>
      </rPr>
      <t xml:space="preserve">Rapid-fire machine gun
</t>
    </r>
    <r>
      <rPr>
        <i/>
        <sz val="10"/>
        <color theme="1"/>
        <rFont val="Arial"/>
      </rPr>
      <t>e. Fourth Time's the Charm + e. Target Lock (Retrofit Escapade), Actium War Rig</t>
    </r>
  </si>
  <si>
    <t>6416ms 97 shots
12683ms 97 mag</t>
  </si>
  <si>
    <t>562,073
648,866</t>
  </si>
  <si>
    <r>
      <rPr>
        <sz val="10"/>
        <color theme="1"/>
        <rFont val="Arial"/>
      </rPr>
      <t xml:space="preserve">Cloudstrike
</t>
    </r>
    <r>
      <rPr>
        <i/>
        <sz val="10"/>
        <color theme="1"/>
        <rFont val="Arial"/>
      </rPr>
      <t>Rain of Fire</t>
    </r>
  </si>
  <si>
    <r>
      <rPr>
        <sz val="10"/>
        <color theme="1"/>
        <rFont val="Arial"/>
      </rPr>
      <t xml:space="preserve">Aggressive sniper
</t>
    </r>
    <r>
      <rPr>
        <i/>
        <sz val="10"/>
        <color theme="1"/>
        <rFont val="Arial"/>
      </rPr>
      <t>Envious Assassin + Cascade Point (Volta Bracket)</t>
    </r>
    <r>
      <rPr>
        <sz val="10"/>
        <color theme="1"/>
        <rFont val="Arial"/>
      </rPr>
      <t xml:space="preserve">, </t>
    </r>
    <r>
      <rPr>
        <i/>
        <sz val="10"/>
        <color theme="1"/>
        <rFont val="Arial"/>
      </rPr>
      <t>Rain of Fire</t>
    </r>
  </si>
  <si>
    <t>10-4-4-4-...</t>
  </si>
  <si>
    <r>
      <rPr>
        <sz val="10"/>
        <color theme="1"/>
        <rFont val="Arial"/>
      </rPr>
      <t xml:space="preserve">Aggressive shotgun swapping
</t>
    </r>
    <r>
      <rPr>
        <i/>
        <sz val="10"/>
        <color theme="1"/>
        <rFont val="Arial"/>
      </rPr>
      <t>Frenzy (Ragnhild-D), Frenzy (Found Verdict), Assault Mag, Rain of Fire, body</t>
    </r>
  </si>
  <si>
    <r>
      <rPr>
        <sz val="10"/>
        <color theme="1"/>
        <rFont val="Arial"/>
      </rPr>
      <t xml:space="preserve">The Wardcliff Coil
</t>
    </r>
    <r>
      <rPr>
        <i/>
        <sz val="10"/>
        <color theme="1"/>
        <rFont val="Arial"/>
      </rPr>
      <t>Radiant Dance Machines</t>
    </r>
  </si>
  <si>
    <t>1767ms dash</t>
  </si>
  <si>
    <r>
      <rPr>
        <sz val="10"/>
        <color theme="1"/>
        <rFont val="Arial"/>
      </rPr>
      <t xml:space="preserve">Aggressive sword
</t>
    </r>
    <r>
      <rPr>
        <i/>
        <sz val="10"/>
        <color theme="1"/>
        <rFont val="Arial"/>
      </rPr>
      <t>Light attacks, Lucent Blades x3, Jagged Edge, e. Surrounded (Throne-Cleaver)</t>
    </r>
  </si>
  <si>
    <r>
      <rPr>
        <sz val="10"/>
        <color theme="1"/>
        <rFont val="Arial"/>
      </rPr>
      <t xml:space="preserve">The Lament
</t>
    </r>
    <r>
      <rPr>
        <i/>
        <sz val="10"/>
        <color theme="1"/>
        <rFont val="Arial"/>
      </rPr>
      <t>3L1H2R combo, Lucent Blades x3</t>
    </r>
  </si>
  <si>
    <t>3266ms 3L1H1R
1950ms 2L1H</t>
  </si>
  <si>
    <t>7-7-7-...</t>
  </si>
  <si>
    <r>
      <rPr>
        <sz val="10"/>
        <color theme="1"/>
        <rFont val="Arial"/>
      </rPr>
      <t xml:space="preserve">Aggressive sword
</t>
    </r>
    <r>
      <rPr>
        <i/>
        <sz val="10"/>
        <color theme="1"/>
        <rFont val="Arial"/>
      </rPr>
      <t>1H2L combo, Lucent Blades x3, Jagged Edge, e. Surrounded (Throne-Cleaver)</t>
    </r>
  </si>
  <si>
    <t>966ms heavy</t>
  </si>
  <si>
    <t>5-5-5-...</t>
  </si>
  <si>
    <r>
      <rPr>
        <sz val="10"/>
        <color theme="1"/>
        <rFont val="Arial"/>
      </rPr>
      <t xml:space="preserve">Izanagi's Burden
</t>
    </r>
    <r>
      <rPr>
        <i/>
        <sz val="10"/>
        <color theme="1"/>
        <rFont val="Arial"/>
      </rPr>
      <t>including lockout (no swapping)</t>
    </r>
  </si>
  <si>
    <t>4-4-4-...</t>
  </si>
  <si>
    <r>
      <rPr>
        <sz val="10"/>
        <color theme="1"/>
        <rFont val="Arial"/>
      </rPr>
      <t xml:space="preserve">Aggressive shotgun
</t>
    </r>
    <r>
      <rPr>
        <i/>
        <sz val="10"/>
        <color theme="1"/>
        <rFont val="Arial"/>
      </rPr>
      <t>e. Surrounded (Imperial Decree), Assault Mag, Rain of Fire, body</t>
    </r>
  </si>
  <si>
    <r>
      <rPr>
        <sz val="10"/>
        <color theme="1"/>
        <rFont val="Arial"/>
      </rPr>
      <t xml:space="preserve">Vortex sword
</t>
    </r>
    <r>
      <rPr>
        <i/>
        <sz val="10"/>
        <color theme="1"/>
        <rFont val="Arial"/>
      </rPr>
      <t>1H2L combo, Lucent Blades x3, Jagged Edge, Relentless Strikes + e. Surrounded (Death's Razor)</t>
    </r>
  </si>
  <si>
    <r>
      <rPr>
        <sz val="10"/>
        <color theme="1"/>
        <rFont val="Arial"/>
      </rPr>
      <t xml:space="preserve">Sleeper Simulant
</t>
    </r>
    <r>
      <rPr>
        <i/>
        <sz val="10"/>
        <color theme="1"/>
        <rFont val="Arial"/>
      </rPr>
      <t>Rain of Fire</t>
    </r>
  </si>
  <si>
    <t>750ms charge
1867ms dash</t>
  </si>
  <si>
    <t>4-4-4-4</t>
  </si>
  <si>
    <r>
      <rPr>
        <sz val="10"/>
        <color theme="1"/>
        <rFont val="Arial"/>
      </rPr>
      <t>The Lament</t>
    </r>
    <r>
      <rPr>
        <i/>
        <sz val="10"/>
        <color theme="1"/>
        <rFont val="Arial"/>
      </rPr>
      <t xml:space="preserve">
2L1H1R combo, Lucent Blades x3</t>
    </r>
  </si>
  <si>
    <t>1950ms 2L1H</t>
  </si>
  <si>
    <r>
      <rPr>
        <sz val="10"/>
        <color theme="1"/>
        <rFont val="Arial"/>
      </rPr>
      <t xml:space="preserve">The Lament
</t>
    </r>
    <r>
      <rPr>
        <i/>
        <sz val="10"/>
        <color theme="1"/>
        <rFont val="Arial"/>
      </rPr>
      <t>4L1H3R combo, Lucent Blades x3</t>
    </r>
  </si>
  <si>
    <t>2550ms 3L1H</t>
  </si>
  <si>
    <t>9-9-9-...</t>
  </si>
  <si>
    <r>
      <rPr>
        <sz val="10"/>
        <color theme="1"/>
        <rFont val="Arial"/>
      </rPr>
      <t xml:space="preserve">Conditional Finality pellet swapping
</t>
    </r>
    <r>
      <rPr>
        <i/>
        <sz val="10"/>
        <color theme="1"/>
        <rFont val="Arial"/>
      </rPr>
      <t>Vorpal Weapon (Mindbender's Ambition), body, Rain of Fire</t>
    </r>
  </si>
  <si>
    <t>966ms dash</t>
  </si>
  <si>
    <t>43,342
27,149</t>
  </si>
  <si>
    <t>1.000
1.150</t>
  </si>
  <si>
    <t>1.135
1.220</t>
  </si>
  <si>
    <t>1.000
1.078</t>
  </si>
  <si>
    <r>
      <rPr>
        <sz val="10"/>
        <color theme="1"/>
        <rFont val="Arial"/>
      </rPr>
      <t xml:space="preserve">Lightweight shotgun
</t>
    </r>
    <r>
      <rPr>
        <i/>
        <sz val="10"/>
        <color theme="1"/>
        <rFont val="Arial"/>
      </rPr>
      <t>Surrounded (Xenoclast IV), Assault Mag, body, Rain of Fire</t>
    </r>
  </si>
  <si>
    <t>6-6-6-1</t>
  </si>
  <si>
    <r>
      <rPr>
        <sz val="10"/>
        <color theme="1"/>
        <rFont val="Arial"/>
      </rPr>
      <t xml:space="preserve">Aggressive shotgun
</t>
    </r>
    <r>
      <rPr>
        <i/>
        <sz val="10"/>
        <color theme="1"/>
        <rFont val="Arial"/>
      </rPr>
      <t>Trench Barrel (Imperial Decree), Assault Mag, Rain of Fire, body</t>
    </r>
  </si>
  <si>
    <t>1183ms s-m-s</t>
  </si>
  <si>
    <r>
      <rPr>
        <sz val="10"/>
        <color theme="1"/>
        <rFont val="Arial"/>
      </rPr>
      <t xml:space="preserve">Pinpoint slug shotgun
</t>
    </r>
    <r>
      <rPr>
        <i/>
        <sz val="10"/>
        <color theme="1"/>
        <rFont val="Arial"/>
      </rPr>
      <t>Surrounded (Sojourner's Tale), Assault Mag, Rain of Fire</t>
    </r>
  </si>
  <si>
    <r>
      <rPr>
        <sz val="10"/>
        <color theme="1"/>
        <rFont val="Arial"/>
      </rPr>
      <t xml:space="preserve">Lord of Wolves
</t>
    </r>
    <r>
      <rPr>
        <i/>
        <sz val="10"/>
        <color theme="1"/>
        <rFont val="Arial"/>
      </rPr>
      <t>Release the Wolves, body, Rain of Fire</t>
    </r>
  </si>
  <si>
    <t>30-30-30-30</t>
  </si>
  <si>
    <r>
      <rPr>
        <sz val="10"/>
        <color theme="1"/>
        <rFont val="Arial"/>
      </rPr>
      <t xml:space="preserve">Cup-Bearer SA/2
</t>
    </r>
    <r>
      <rPr>
        <i/>
        <sz val="10"/>
        <color theme="1"/>
        <rFont val="Arial"/>
      </rPr>
      <t>Cluster Bomb, Pack Hunter, Lunafaction Boots, 3x Loader</t>
    </r>
  </si>
  <si>
    <t>Rare</t>
  </si>
  <si>
    <r>
      <rPr>
        <sz val="10"/>
        <color theme="1"/>
        <rFont val="Arial"/>
      </rPr>
      <t xml:space="preserve">Thunderlord
</t>
    </r>
    <r>
      <rPr>
        <i/>
        <sz val="10"/>
        <color theme="1"/>
        <rFont val="Arial"/>
      </rPr>
      <t>Actium War Rig</t>
    </r>
  </si>
  <si>
    <t>409</t>
  </si>
  <si>
    <r>
      <rPr>
        <sz val="10"/>
        <color theme="1"/>
        <rFont val="Arial"/>
      </rPr>
      <t xml:space="preserve">Rapid-fire shotgun
</t>
    </r>
    <r>
      <rPr>
        <i/>
        <sz val="10"/>
        <color theme="1"/>
        <rFont val="Arial"/>
      </rPr>
      <t>Frenzy (Dead Weight), Rain of Fire, body</t>
    </r>
  </si>
  <si>
    <r>
      <rPr>
        <sz val="10"/>
        <color theme="1"/>
        <rFont val="Arial"/>
      </rPr>
      <t xml:space="preserve">Aggressive sniper
</t>
    </r>
    <r>
      <rPr>
        <i/>
        <sz val="10"/>
        <color theme="1"/>
        <rFont val="Arial"/>
      </rPr>
      <t>Reconstruction + Firing Line (Succession), Rain of Fire</t>
    </r>
  </si>
  <si>
    <t>8-4-4-4-...</t>
  </si>
  <si>
    <r>
      <rPr>
        <sz val="10"/>
        <color theme="1"/>
        <rFont val="Arial"/>
      </rPr>
      <t xml:space="preserve">Pinpoint slug shotgun
</t>
    </r>
    <r>
      <rPr>
        <i/>
        <sz val="10"/>
        <color theme="1"/>
        <rFont val="Arial"/>
      </rPr>
      <t>Reconstruction + Focused Fury (Heritage), Assault Mag, Rain of Fire</t>
    </r>
  </si>
  <si>
    <r>
      <rPr>
        <sz val="10"/>
        <color theme="1"/>
        <rFont val="Arial"/>
      </rPr>
      <t xml:space="preserve">Aggressive linear fusion rifle
</t>
    </r>
    <r>
      <rPr>
        <i/>
        <sz val="10"/>
        <color theme="1"/>
        <rFont val="Arial"/>
      </rPr>
      <t>Charge MW, Ionized Battery, e. Envious Assassin + e. Precision Instrument (Doomed Petitioner), Rain of Fire</t>
    </r>
  </si>
  <si>
    <t>15-8</t>
  </si>
  <si>
    <r>
      <rPr>
        <sz val="10"/>
        <color theme="1"/>
        <rFont val="Arial"/>
      </rPr>
      <t xml:space="preserve">Aggressive sniper
</t>
    </r>
    <r>
      <rPr>
        <i/>
        <sz val="10"/>
        <color theme="1"/>
        <rFont val="Arial"/>
      </rPr>
      <t>Triple Tap + Firing Line (Silicon Neuroma), Rain of Fire</t>
    </r>
  </si>
  <si>
    <r>
      <rPr>
        <sz val="10"/>
        <color theme="1"/>
        <rFont val="Arial"/>
      </rPr>
      <t xml:space="preserve">Lightweight shotgun
</t>
    </r>
    <r>
      <rPr>
        <i/>
        <sz val="10"/>
        <color theme="1"/>
        <rFont val="Arial"/>
      </rPr>
      <t>Vorpal Weapon (Riiswalker), Assault Mag, body, Rain of Fire</t>
    </r>
  </si>
  <si>
    <r>
      <rPr>
        <sz val="10"/>
        <color theme="1"/>
        <rFont val="Arial"/>
      </rPr>
      <t xml:space="preserve">Caster sword
</t>
    </r>
    <r>
      <rPr>
        <i/>
        <sz val="10"/>
        <color theme="1"/>
        <rFont val="Arial"/>
      </rPr>
      <t>2L1H combo, Lucent Blades x3, Jagged Edge, Relentless Strikes + Surrounded (Temptation's Hook)</t>
    </r>
  </si>
  <si>
    <r>
      <rPr>
        <sz val="10"/>
        <color theme="1"/>
        <rFont val="Arial"/>
      </rPr>
      <t xml:space="preserve">Merciless
</t>
    </r>
    <r>
      <rPr>
        <i/>
        <sz val="10"/>
        <color theme="1"/>
        <rFont val="Arial"/>
      </rPr>
      <t>Conserve Momentum x15, manual reloads, Lunafaction Boots, 3x Loader</t>
    </r>
  </si>
  <si>
    <t>8-8-6</t>
  </si>
  <si>
    <r>
      <rPr>
        <sz val="10"/>
        <color theme="1"/>
        <rFont val="Arial"/>
      </rPr>
      <t xml:space="preserve">Lightweight sword
</t>
    </r>
    <r>
      <rPr>
        <i/>
        <sz val="10"/>
        <color theme="1"/>
        <rFont val="Arial"/>
      </rPr>
      <t>3L1H combo, Jagged Edge, Relentless Strikes + Whirlwind Blade (Goldtusk), Lucent Blades x3</t>
    </r>
  </si>
  <si>
    <t>14,664
47,112</t>
  </si>
  <si>
    <t>43,988
141,322</t>
  </si>
  <si>
    <r>
      <rPr>
        <sz val="10"/>
        <color theme="1"/>
        <rFont val="Arial"/>
      </rPr>
      <t xml:space="preserve">Rapid-fire sniper
</t>
    </r>
    <r>
      <rPr>
        <i/>
        <sz val="10"/>
        <color theme="1"/>
        <rFont val="Arial"/>
      </rPr>
      <t>e. Rewind Rounds + e. Fourth Time's the Charm (The Supremacy), Rain of Fire</t>
    </r>
  </si>
  <si>
    <t>46-25</t>
  </si>
  <si>
    <r>
      <rPr>
        <sz val="10"/>
        <color theme="1"/>
        <rFont val="Arial"/>
      </rPr>
      <t xml:space="preserve">Rapid-fire sniper
</t>
    </r>
    <r>
      <rPr>
        <i/>
        <sz val="10"/>
        <color theme="1"/>
        <rFont val="Arial"/>
      </rPr>
      <t>Fourth Time's the Charm + Firing Line (Irukandji), Rain of Fire</t>
    </r>
  </si>
  <si>
    <r>
      <rPr>
        <sz val="10"/>
        <color theme="1"/>
        <rFont val="Arial"/>
      </rPr>
      <t xml:space="preserve">Rapid-fire sniper
</t>
    </r>
    <r>
      <rPr>
        <i/>
        <sz val="10"/>
        <color theme="1"/>
        <rFont val="Arial"/>
      </rPr>
      <t>Fourth Time's the Charm + Focused Fury (IKELOS_SR_V1.0.3), Rain of Fire</t>
    </r>
  </si>
  <si>
    <r>
      <rPr>
        <sz val="10"/>
        <color theme="1"/>
        <rFont val="Arial"/>
      </rPr>
      <t xml:space="preserve">Lightweight sword
</t>
    </r>
    <r>
      <rPr>
        <i/>
        <sz val="10"/>
        <color theme="1"/>
        <rFont val="Arial"/>
      </rPr>
      <t>Light attacks, Jagged Edge, Relentless Strikes + Whirlwind Blade (Goldtusk)</t>
    </r>
  </si>
  <si>
    <r>
      <rPr>
        <sz val="10"/>
        <color theme="1"/>
        <rFont val="Arial"/>
      </rPr>
      <t xml:space="preserve">Aggressive linear fusion rifle
</t>
    </r>
    <r>
      <rPr>
        <i/>
        <sz val="10"/>
        <color theme="1"/>
        <rFont val="Arial"/>
      </rPr>
      <t>Charge MW, Accelerated Coils, Clown Cartridge + Firing Line (Stormchaser), Rain of Fire</t>
    </r>
  </si>
  <si>
    <t>483ms charge
1750ms dash</t>
  </si>
  <si>
    <t>8-5-5-5</t>
  </si>
  <si>
    <r>
      <rPr>
        <sz val="10"/>
        <color theme="1"/>
        <rFont val="Arial"/>
      </rPr>
      <t xml:space="preserve">Aggressive shotgun
</t>
    </r>
    <r>
      <rPr>
        <i/>
        <sz val="10"/>
        <color theme="1"/>
        <rFont val="Arial"/>
      </rPr>
      <t>Trench Barrel (The Comedian), Assault Mag, Rain of Fire, body</t>
    </r>
  </si>
  <si>
    <r>
      <rPr>
        <sz val="10"/>
        <color theme="1"/>
        <rFont val="Arial"/>
      </rPr>
      <t xml:space="preserve">Ager's Scepter
</t>
    </r>
    <r>
      <rPr>
        <i/>
        <sz val="10"/>
        <color theme="1"/>
        <rFont val="Arial"/>
      </rPr>
      <t>Will Given Form, Rain of Fire, fired until super empty</t>
    </r>
  </si>
  <si>
    <t>194-97</t>
  </si>
  <si>
    <r>
      <rPr>
        <sz val="10"/>
        <color theme="1"/>
        <rFont val="Arial"/>
      </rPr>
      <t xml:space="preserve">Taipan-4fr
</t>
    </r>
    <r>
      <rPr>
        <i/>
        <sz val="10"/>
        <color theme="1"/>
        <rFont val="Arial"/>
      </rPr>
      <t>Triple Tap + Firing Line, Rain of Fire</t>
    </r>
  </si>
  <si>
    <t>450ms charge
1233ms dash</t>
  </si>
  <si>
    <r>
      <rPr>
        <sz val="10"/>
        <color theme="1"/>
        <rFont val="Arial"/>
      </rPr>
      <t xml:space="preserve">Precision linear fusion rifle
</t>
    </r>
    <r>
      <rPr>
        <i/>
        <sz val="10"/>
        <color theme="1"/>
        <rFont val="Arial"/>
      </rPr>
      <t>e. Fourth Time's the Charm + e. Bait and Switch (Cataclysmic), Rain of Fire, Witherhoard/trace swaps</t>
    </r>
  </si>
  <si>
    <t>500ms charge
2500ms dash</t>
  </si>
  <si>
    <t>10-12-12-9</t>
  </si>
  <si>
    <r>
      <rPr>
        <sz val="10"/>
        <color theme="1"/>
        <rFont val="Arial"/>
      </rPr>
      <t xml:space="preserve">Aggressive shotgun
</t>
    </r>
    <r>
      <rPr>
        <i/>
        <sz val="10"/>
        <color theme="1"/>
        <rFont val="Arial"/>
      </rPr>
      <t>Surrounded (A Sudden Death), Assault Mag, Rain of Fire, body</t>
    </r>
  </si>
  <si>
    <r>
      <rPr>
        <sz val="10"/>
        <color theme="1"/>
        <rFont val="Arial"/>
      </rPr>
      <t xml:space="preserve">Adaptive sniper
</t>
    </r>
    <r>
      <rPr>
        <i/>
        <sz val="10"/>
        <color theme="1"/>
        <rFont val="Arial"/>
      </rPr>
      <t>Overflow + Firing Line (Thoughtless), Rain of Fire</t>
    </r>
  </si>
  <si>
    <t>11-5-5-2</t>
  </si>
  <si>
    <r>
      <rPr>
        <sz val="10"/>
        <color theme="1"/>
        <rFont val="Arial"/>
      </rPr>
      <t>Heartshadow</t>
    </r>
    <r>
      <rPr>
        <i/>
        <sz val="10"/>
        <color theme="1"/>
        <rFont val="Arial"/>
      </rPr>
      <t xml:space="preserve">
heavy attacks, Shot in the Dark, Lucent Blades x3</t>
    </r>
  </si>
  <si>
    <r>
      <rPr>
        <sz val="10"/>
        <color theme="1"/>
        <rFont val="Arial"/>
      </rPr>
      <t xml:space="preserve">High-impact fusion rifle
</t>
    </r>
    <r>
      <rPr>
        <i/>
        <sz val="10"/>
        <color theme="1"/>
        <rFont val="Arial"/>
      </rPr>
      <t>Charge MW, Accelerated Coils, Cornered + e. Surrounded (Midha's Reckoning), Rain of Fire</t>
    </r>
  </si>
  <si>
    <t>fusion</t>
  </si>
  <si>
    <t>765ms charge
1650ms dash</t>
  </si>
  <si>
    <t>5-5-5-4</t>
  </si>
  <si>
    <r>
      <rPr>
        <sz val="10"/>
        <color theme="1"/>
        <rFont val="Arial"/>
      </rPr>
      <t xml:space="preserve">Aggressive sniper
</t>
    </r>
    <r>
      <rPr>
        <i/>
        <sz val="10"/>
        <color theme="1"/>
        <rFont val="Arial"/>
      </rPr>
      <t>Overflow + Firing Line (The Long Walk)</t>
    </r>
    <r>
      <rPr>
        <sz val="10"/>
        <color theme="1"/>
        <rFont val="Arial"/>
      </rPr>
      <t xml:space="preserve">, </t>
    </r>
    <r>
      <rPr>
        <i/>
        <sz val="10"/>
        <color theme="1"/>
        <rFont val="Arial"/>
      </rPr>
      <t>Rain of Fire</t>
    </r>
  </si>
  <si>
    <r>
      <rPr>
        <sz val="10"/>
        <color theme="1"/>
        <rFont val="Arial"/>
      </rPr>
      <t xml:space="preserve">Pinpoint slug shotgun
</t>
    </r>
    <r>
      <rPr>
        <i/>
        <sz val="10"/>
        <color theme="1"/>
        <rFont val="Arial"/>
      </rPr>
      <t>Envious Assassin + Focused Fury (Nessa's Oblation), Assault Mag, Rain of Fire</t>
    </r>
  </si>
  <si>
    <r>
      <rPr>
        <sz val="10"/>
        <color theme="1"/>
        <rFont val="Arial"/>
      </rPr>
      <t xml:space="preserve">Adaptive sniper
</t>
    </r>
    <r>
      <rPr>
        <i/>
        <sz val="10"/>
        <color theme="1"/>
        <rFont val="Arial"/>
      </rPr>
      <t>Fourth Time's the Charm + Firing Line (Fugue-55), Rain of Fire</t>
    </r>
  </si>
  <si>
    <r>
      <rPr>
        <sz val="10"/>
        <color theme="1"/>
        <rFont val="Arial"/>
      </rPr>
      <t xml:space="preserve">Lightweight shotgun
</t>
    </r>
    <r>
      <rPr>
        <i/>
        <sz val="10"/>
        <color theme="1"/>
        <rFont val="Arial"/>
      </rPr>
      <t>Vorpal Weapon (Xenoclast IV), Assault Mag, body, Rain of Fire</t>
    </r>
  </si>
  <si>
    <r>
      <rPr>
        <sz val="10"/>
        <color theme="1"/>
        <rFont val="Arial"/>
      </rPr>
      <t xml:space="preserve">Black Talon
</t>
    </r>
    <r>
      <rPr>
        <i/>
        <sz val="10"/>
        <color theme="1"/>
        <rFont val="Arial"/>
      </rPr>
      <t>2H2L combo, Lucent Blades x3</t>
    </r>
  </si>
  <si>
    <t>4-4-1-1-...</t>
  </si>
  <si>
    <t>13,741
41,222</t>
  </si>
  <si>
    <t>29,421
88,260</t>
  </si>
  <si>
    <r>
      <rPr>
        <sz val="10"/>
        <color theme="1"/>
        <rFont val="Arial"/>
      </rPr>
      <t xml:space="preserve">Rapid-fire fusion rifle
</t>
    </r>
    <r>
      <rPr>
        <i/>
        <sz val="10"/>
        <color theme="1"/>
        <rFont val="Arial"/>
      </rPr>
      <t>Charge MW, Accelerated Coils, Controlled Burst (Scatter Signal), Rain of Fire</t>
    </r>
  </si>
  <si>
    <t>400ms charge
1321ms dash</t>
  </si>
  <si>
    <t>16-6</t>
  </si>
  <si>
    <r>
      <rPr>
        <sz val="10"/>
        <color theme="1"/>
        <rFont val="Arial"/>
      </rPr>
      <t xml:space="preserve">Black Talon
</t>
    </r>
    <r>
      <rPr>
        <i/>
        <sz val="10"/>
        <color theme="1"/>
        <rFont val="Arial"/>
      </rPr>
      <t>2H2L combo, Reversal, Lucent Blades x3</t>
    </r>
  </si>
  <si>
    <t>29,421
132,391</t>
  </si>
  <si>
    <r>
      <rPr>
        <sz val="10"/>
        <color theme="1"/>
        <rFont val="Arial"/>
      </rPr>
      <t xml:space="preserve">Precision fusion rifle
</t>
    </r>
    <r>
      <rPr>
        <i/>
        <sz val="10"/>
        <color theme="1"/>
        <rFont val="Arial"/>
      </rPr>
      <t>Charge MW, Accelerated Coils, e. Cornered + e. Surrounded (Deliverance), Rain of Fire</t>
    </r>
  </si>
  <si>
    <t>566ms charge
1550ms dash</t>
  </si>
  <si>
    <t>6-6-6-4</t>
  </si>
  <si>
    <r>
      <rPr>
        <sz val="10"/>
        <color theme="1"/>
        <rFont val="Arial"/>
      </rPr>
      <t xml:space="preserve">Winterbite
</t>
    </r>
    <r>
      <rPr>
        <i/>
        <sz val="10"/>
        <color theme="1"/>
        <rFont val="Arial"/>
      </rPr>
      <t>projectile, Rain of Fire</t>
    </r>
  </si>
  <si>
    <r>
      <rPr>
        <sz val="10"/>
        <color theme="1"/>
        <rFont val="Arial"/>
      </rPr>
      <t xml:space="preserve">Warden's Law
</t>
    </r>
    <r>
      <rPr>
        <i/>
        <sz val="10"/>
        <color theme="1"/>
        <rFont val="Arial"/>
      </rPr>
      <t>Lucky Pants loadout swap exploit, 8 bursts</t>
    </r>
  </si>
  <si>
    <r>
      <rPr>
        <sz val="10"/>
        <color theme="1"/>
        <rFont val="Arial"/>
      </rPr>
      <t xml:space="preserve">Conditional Finality
</t>
    </r>
    <r>
      <rPr>
        <i/>
        <sz val="10"/>
        <color theme="1"/>
        <rFont val="Arial"/>
      </rPr>
      <t>Rain of Fire, Lunafaction Boots, 3x Loader</t>
    </r>
  </si>
  <si>
    <t>1116ms dash</t>
  </si>
  <si>
    <r>
      <rPr>
        <sz val="10"/>
        <color theme="1"/>
        <rFont val="Arial"/>
      </rPr>
      <t xml:space="preserve">Heir Apparent
</t>
    </r>
    <r>
      <rPr>
        <i/>
        <sz val="10"/>
        <color theme="1"/>
        <rFont val="Arial"/>
      </rPr>
      <t>Actium War Rig</t>
    </r>
  </si>
  <si>
    <t>600</t>
  </si>
  <si>
    <r>
      <rPr>
        <sz val="10"/>
        <color theme="1"/>
        <rFont val="Arial"/>
      </rPr>
      <t xml:space="preserve">Forerunner
</t>
    </r>
    <r>
      <rPr>
        <i/>
        <sz val="10"/>
        <color theme="1"/>
        <rFont val="Arial"/>
      </rPr>
      <t>Rain of Fire</t>
    </r>
  </si>
  <si>
    <r>
      <t xml:space="preserve">Adaptive fusion rifle
</t>
    </r>
    <r>
      <rPr>
        <i/>
        <sz val="10"/>
        <color theme="1"/>
        <rFont val="Arial"/>
      </rPr>
      <t>Charge MW, Accelerated Coils, Surrounded (Dream Breaker), Rain of Fire</t>
    </r>
  </si>
  <si>
    <t>600ms charge
783ms dash</t>
  </si>
  <si>
    <t>5-5-5-5-2</t>
  </si>
  <si>
    <r>
      <rPr>
        <sz val="10"/>
        <color theme="1"/>
        <rFont val="Arial"/>
      </rPr>
      <t xml:space="preserve">High-impact fusion rifle
</t>
    </r>
    <r>
      <rPr>
        <i/>
        <sz val="10"/>
        <color theme="1"/>
        <rFont val="Arial"/>
      </rPr>
      <t>Charge MW, Ionized Battery, Envious Assassin + Controlled Burst (The Eremite)</t>
    </r>
  </si>
  <si>
    <t>933ms charge
1883ms dash</t>
  </si>
  <si>
    <t>19</t>
  </si>
  <si>
    <r>
      <rPr>
        <sz val="10"/>
        <color theme="1"/>
        <rFont val="Arial"/>
      </rPr>
      <t xml:space="preserve">Rocket-assisted sidearm
</t>
    </r>
    <r>
      <rPr>
        <i/>
        <sz val="10"/>
        <color theme="1"/>
        <rFont val="Arial"/>
      </rPr>
      <t>Surrounded (Indebted Kindness), Rain of Fire</t>
    </r>
  </si>
  <si>
    <t>sidearm</t>
  </si>
  <si>
    <t>13-13-13-13-10</t>
  </si>
  <si>
    <r>
      <rPr>
        <sz val="10"/>
        <color theme="1"/>
        <rFont val="Arial"/>
      </rPr>
      <t xml:space="preserve">Adaptive fusion rifle
</t>
    </r>
    <r>
      <rPr>
        <i/>
        <sz val="10"/>
        <color theme="1"/>
        <rFont val="Arial"/>
      </rPr>
      <t>Charge MW, Ionized Battery, e. Rewind Rounds + Controlled Burst (Techeun Force)</t>
    </r>
  </si>
  <si>
    <t>633ms charge</t>
  </si>
  <si>
    <t>22</t>
  </si>
  <si>
    <r>
      <rPr>
        <sz val="10"/>
        <color theme="1"/>
        <rFont val="Arial"/>
      </rPr>
      <t xml:space="preserve">High-impact fusion rifle
</t>
    </r>
    <r>
      <rPr>
        <i/>
        <sz val="10"/>
        <color theme="1"/>
        <rFont val="Arial"/>
      </rPr>
      <t>Charge MW, Ionized Battery, Envious Assassin + Controlled (Nox Perennial V)</t>
    </r>
  </si>
  <si>
    <t>18-4</t>
  </si>
  <si>
    <t>Arbalest</t>
  </si>
  <si>
    <t>533ms charge
1266ms dash</t>
  </si>
  <si>
    <t>6-6-6-5</t>
  </si>
  <si>
    <r>
      <rPr>
        <sz val="10"/>
        <color theme="1"/>
        <rFont val="Arial"/>
      </rPr>
      <t xml:space="preserve">Rapid-fire fusion rifle
</t>
    </r>
    <r>
      <rPr>
        <i/>
        <sz val="10"/>
        <color theme="1"/>
        <rFont val="Arial"/>
      </rPr>
      <t>Charge MW, Accelerated Coils, Vorpal Weapon (Cartesian Coordinate), Rain of Fire</t>
    </r>
  </si>
  <si>
    <t>400ms charge
1416ms dash</t>
  </si>
  <si>
    <t>7-7-7-1</t>
  </si>
  <si>
    <r>
      <rPr>
        <sz val="10"/>
        <color theme="1"/>
        <rFont val="Arial"/>
      </rPr>
      <t xml:space="preserve">Adaptive fusion rifle
</t>
    </r>
    <r>
      <rPr>
        <i/>
        <sz val="10"/>
        <color theme="1"/>
        <rFont val="Arial"/>
      </rPr>
      <t>Charge MW, Accelerated Coils, Envious Assassin + Reservoir Burst (Royal Executioner)</t>
    </r>
  </si>
  <si>
    <r>
      <rPr>
        <sz val="10"/>
        <color theme="1"/>
        <rFont val="Arial"/>
      </rPr>
      <t xml:space="preserve">High-impact fusion rifle
</t>
    </r>
    <r>
      <rPr>
        <i/>
        <sz val="10"/>
        <color theme="1"/>
        <rFont val="Arial"/>
      </rPr>
      <t>Charge MW, Ionized Battery, Envious Assassin + Reservoir Burst (The Eremite)</t>
    </r>
  </si>
  <si>
    <r>
      <rPr>
        <sz val="10"/>
        <color theme="1"/>
        <rFont val="Arial"/>
      </rPr>
      <t xml:space="preserve">High-impact fusion rifle
</t>
    </r>
    <r>
      <rPr>
        <i/>
        <sz val="10"/>
        <color theme="1"/>
        <rFont val="Arial"/>
      </rPr>
      <t>Charge MW, Ionized Battery, Envious Assassin + Frenzy (Loaded Question)</t>
    </r>
  </si>
  <si>
    <r>
      <rPr>
        <sz val="10"/>
        <color theme="1"/>
        <rFont val="Arial"/>
      </rPr>
      <t xml:space="preserve">Adaptive fusion rifle
</t>
    </r>
    <r>
      <rPr>
        <i/>
        <sz val="10"/>
        <color theme="1"/>
        <rFont val="Arial"/>
      </rPr>
      <t>Charge MW, Accelerated Coils, Vorpal Weapon (Pressurized Precision)</t>
    </r>
  </si>
  <si>
    <r>
      <rPr>
        <sz val="10"/>
        <color theme="1"/>
        <rFont val="Arial"/>
      </rPr>
      <t xml:space="preserve">Tessellation
</t>
    </r>
    <r>
      <rPr>
        <i/>
        <sz val="10"/>
        <color theme="1"/>
        <rFont val="Arial"/>
      </rPr>
      <t>Property: Irreducible</t>
    </r>
  </si>
  <si>
    <t>666ms charge
3850ms dash</t>
  </si>
  <si>
    <r>
      <rPr>
        <sz val="10"/>
        <color theme="1"/>
        <rFont val="Arial"/>
      </rPr>
      <t xml:space="preserve">Precision fusion rifle
</t>
    </r>
    <r>
      <rPr>
        <i/>
        <sz val="10"/>
        <color theme="1"/>
        <rFont val="Arial"/>
      </rPr>
      <t>Charge MW, Accelerated Coils, Vorpal Weapon (Hollow Words), Rain of Fire</t>
    </r>
  </si>
  <si>
    <t>666ms charge
1650ms dash</t>
  </si>
  <si>
    <r>
      <rPr>
        <sz val="10"/>
        <color theme="1"/>
        <rFont val="Arial"/>
      </rPr>
      <t xml:space="preserve">Double fire grenade launcher
</t>
    </r>
    <r>
      <rPr>
        <i/>
        <sz val="10"/>
        <color theme="1"/>
        <rFont val="Arial"/>
      </rPr>
      <t>Spike Grenades, Frenzy (Wilderflight) Lunafaction Boots, 3x Loader</t>
    </r>
  </si>
  <si>
    <r>
      <rPr>
        <sz val="10"/>
        <color theme="1"/>
        <rFont val="Arial"/>
      </rPr>
      <t xml:space="preserve">Ex Diris
</t>
    </r>
    <r>
      <rPr>
        <i/>
        <sz val="10"/>
        <color theme="1"/>
        <rFont val="Arial"/>
      </rPr>
      <t>max stacks</t>
    </r>
  </si>
  <si>
    <t>33</t>
  </si>
  <si>
    <r>
      <rPr>
        <sz val="10"/>
        <color theme="1"/>
        <rFont val="Arial"/>
      </rPr>
      <t xml:space="preserve">Trace rifle
</t>
    </r>
    <r>
      <rPr>
        <i/>
        <sz val="10"/>
        <color theme="1"/>
        <rFont val="Arial"/>
      </rPr>
      <t>Field Prep + Frenzy (Acasia's Dejection), Rain of Fire</t>
    </r>
  </si>
  <si>
    <t>7300ms dash</t>
  </si>
  <si>
    <r>
      <rPr>
        <sz val="10"/>
        <color theme="1"/>
        <rFont val="Arial"/>
      </rPr>
      <t xml:space="preserve">Throwing Hammer
</t>
    </r>
    <r>
      <rPr>
        <i/>
        <sz val="10"/>
        <color theme="1"/>
        <rFont val="Arial"/>
      </rPr>
      <t>Roaring Flames x3, Biotic Enhancements</t>
    </r>
  </si>
  <si>
    <r>
      <rPr>
        <sz val="10"/>
        <color theme="1"/>
        <rFont val="Arial"/>
      </rPr>
      <t xml:space="preserve">Anarchy
</t>
    </r>
    <r>
      <rPr>
        <i/>
        <sz val="10"/>
        <color theme="1"/>
        <rFont val="Arial"/>
      </rPr>
      <t>two traps</t>
    </r>
  </si>
  <si>
    <r>
      <rPr>
        <sz val="10"/>
        <color theme="1"/>
        <rFont val="Arial"/>
      </rPr>
      <t xml:space="preserve">Divinity
</t>
    </r>
    <r>
      <rPr>
        <i/>
        <sz val="10"/>
        <color theme="1"/>
        <rFont val="Arial"/>
      </rPr>
      <t>Cenotaph Mask, sustained fire</t>
    </r>
  </si>
  <si>
    <t>564</t>
  </si>
  <si>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</si>
  <si>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direct impact</t>
    </r>
  </si>
  <si>
    <r>
      <rPr>
        <sz val="10"/>
        <color theme="1"/>
        <rFont val="Arial"/>
      </rPr>
      <t xml:space="preserve">Divinity
</t>
    </r>
    <r>
      <rPr>
        <i/>
        <sz val="10"/>
        <color theme="1"/>
        <rFont val="Arial"/>
      </rPr>
      <t>Cenotaph Mask, perfect tapping</t>
    </r>
  </si>
  <si>
    <r>
      <rPr>
        <sz val="10"/>
        <color theme="1"/>
        <rFont val="Arial"/>
      </rPr>
      <t xml:space="preserve"> Arc Soul
</t>
    </r>
    <r>
      <rPr>
        <i/>
        <sz val="10"/>
        <color theme="1"/>
        <rFont val="Arial"/>
      </rPr>
      <t>Amplified</t>
    </r>
  </si>
  <si>
    <t>Jolt</t>
  </si>
  <si>
    <r>
      <rPr>
        <sz val="10"/>
        <color theme="1"/>
        <rFont val="Arial"/>
      </rPr>
      <t xml:space="preserve"> Arc Soul
</t>
    </r>
    <r>
      <rPr>
        <i/>
        <sz val="10"/>
        <color theme="1"/>
        <rFont val="Arial"/>
      </rPr>
      <t>Base</t>
    </r>
  </si>
  <si>
    <t>Unravel</t>
  </si>
  <si>
    <r>
      <rPr>
        <sz val="10"/>
        <color theme="1"/>
        <rFont val="Arial"/>
      </rPr>
      <t xml:space="preserve">Grapple
</t>
    </r>
    <r>
      <rPr>
        <i/>
        <sz val="10"/>
        <color theme="1"/>
        <rFont val="Arial"/>
      </rPr>
      <t>Thread of Ascent</t>
    </r>
  </si>
  <si>
    <t>reload</t>
  </si>
  <si>
    <r>
      <rPr>
        <sz val="10"/>
        <color theme="1"/>
        <rFont val="Arial"/>
      </rPr>
      <t xml:space="preserve">Grenade
</t>
    </r>
    <r>
      <rPr>
        <i/>
        <sz val="10"/>
        <color theme="1"/>
        <rFont val="Arial"/>
      </rPr>
      <t>Demolitionist reload</t>
    </r>
  </si>
  <si>
    <r>
      <rPr>
        <sz val="10"/>
        <color theme="1"/>
        <rFont val="Arial"/>
      </rPr>
      <t xml:space="preserve">Icarus Dash
</t>
    </r>
    <r>
      <rPr>
        <i/>
        <sz val="10"/>
        <color theme="1"/>
        <rFont val="Arial"/>
      </rPr>
      <t>Rain of Fire</t>
    </r>
  </si>
  <si>
    <t>Marksman's Dodge</t>
  </si>
  <si>
    <r>
      <rPr>
        <sz val="10"/>
        <color theme="1"/>
        <rFont val="Arial"/>
      </rPr>
      <t xml:space="preserve">Withering Blade
</t>
    </r>
    <r>
      <rPr>
        <i/>
        <sz val="10"/>
        <color theme="1"/>
        <rFont val="Arial"/>
      </rPr>
      <t>Whisper of Impetus</t>
    </r>
  </si>
  <si>
    <t>Rotation</t>
  </si>
  <si>
    <t>Horseman Grand Overture</t>
  </si>
  <si>
    <t>BnS Cold Comfort dump</t>
  </si>
  <si>
    <t>Horseman Cascade HGL</t>
  </si>
  <si>
    <t>Izanagi sniper Apex</t>
  </si>
  <si>
    <t>BnS Apex Predator dump</t>
  </si>
  <si>
    <t>Izanagi GL Apex</t>
  </si>
  <si>
    <t>Duality slug Apex</t>
  </si>
  <si>
    <t>Bipod Cold Comfort dump</t>
  </si>
  <si>
    <t>Cloudstrike Cascade HGL</t>
  </si>
  <si>
    <t>Horseman BnS HGL</t>
  </si>
  <si>
    <t>Izanagi GL Apex, no Pack</t>
  </si>
  <si>
    <t>Malfeasance Impetus Apex</t>
  </si>
  <si>
    <t>Conditional pellet Apex</t>
  </si>
  <si>
    <t>Double Surrounded slug Parasite</t>
  </si>
  <si>
    <t>Malfeasance Blade Apex</t>
  </si>
  <si>
    <t>Double slug Gjallarhorn</t>
  </si>
  <si>
    <t>Briar's Contempt</t>
  </si>
  <si>
    <t>Double pellet Tractor</t>
  </si>
  <si>
    <t>Double slug Tractor</t>
  </si>
  <si>
    <t>Cataclysmic</t>
  </si>
  <si>
    <t>Taipan-4fr</t>
  </si>
  <si>
    <t>Retrofit Escapade</t>
  </si>
  <si>
    <t>Time</t>
  </si>
  <si>
    <t>Final</t>
  </si>
  <si>
    <t>Bipod Cold Comfort dump (RDM, Ballidorse) [x/x/15]</t>
  </si>
  <si>
    <t>Blade Barrage (Feast x4)</t>
  </si>
  <si>
    <t>Cold Comfort (Bipod, Pack) shot 1</t>
  </si>
  <si>
    <t>Cold Comfort (Bipod, Pack) shot 2</t>
  </si>
  <si>
    <t>Cold Comfort (Bipod, Pack) shot 3</t>
  </si>
  <si>
    <t>Cold Comfort (Bipod, Pack) shot 4</t>
  </si>
  <si>
    <t>Cold Comfort (Bipod, Pack) shot 5</t>
  </si>
  <si>
    <t>Cold Comfort (Bipod, Pack) shot 6</t>
  </si>
  <si>
    <t>Cold Comfort (Bipod, Pack) shot 7</t>
  </si>
  <si>
    <t>Cold Comfort (Bipod, Pack) shot 8</t>
  </si>
  <si>
    <t>Cold Comfort (Bipod, Pack) shot 9</t>
  </si>
  <si>
    <t>Cold Comfort (Bipod, Pack) shot 10</t>
  </si>
  <si>
    <t>Cold Comfort (Bipod, Pack) shot 11</t>
  </si>
  <si>
    <t>Cold Comfort (Bipod, Pack) shot 12</t>
  </si>
  <si>
    <t>Cold Comfort (Bipod, Pack) shot 13</t>
  </si>
  <si>
    <t>Cold Comfort (Bipod, Pack) shot 14</t>
  </si>
  <si>
    <t>Cold Comfort (Bipod, Pack) shot 15</t>
  </si>
  <si>
    <t>BnS Apex dump (RDM) [x/x/9]</t>
  </si>
  <si>
    <t>Witherhoard shot</t>
  </si>
  <si>
    <t>Trace shot 1</t>
  </si>
  <si>
    <t>Apex Predator shot 1</t>
  </si>
  <si>
    <t>Apex Predator shot 2</t>
  </si>
  <si>
    <t>Apex Predator shot 3</t>
  </si>
  <si>
    <t>Apex Predator shot 4</t>
  </si>
  <si>
    <t>Apex Predator shot 5</t>
  </si>
  <si>
    <t>Apex Predator shot 6</t>
  </si>
  <si>
    <t>Apex Predator shot 7</t>
  </si>
  <si>
    <t>Apex Predator shot 8</t>
  </si>
  <si>
    <t>Apex Predator shot 9</t>
  </si>
  <si>
    <t>BnS Cold Comfort dump (RDM, Ballidorse) [x/x/10]</t>
  </si>
  <si>
    <t>Cold Comfort shot 1</t>
  </si>
  <si>
    <t>Cold Comfort shot 2</t>
  </si>
  <si>
    <t>Cold Comfort shot 3</t>
  </si>
  <si>
    <t>Cold Comfort shot 4</t>
  </si>
  <si>
    <t>Cold Comfort shot 5</t>
  </si>
  <si>
    <t>Cold Comfort shot 6</t>
  </si>
  <si>
    <t>Cold Comfort shot 7</t>
  </si>
  <si>
    <t>Cold Comfort shot 8</t>
  </si>
  <si>
    <t>Cold Comfort shot 9</t>
  </si>
  <si>
    <t>Cold Comfort shot 10</t>
  </si>
  <si>
    <t>Briar's Contempt (SES) [23]</t>
  </si>
  <si>
    <t>Izanagi's Burden x4 shot</t>
  </si>
  <si>
    <t>Briar's Contempt shot 1</t>
  </si>
  <si>
    <t>Briar's Contempt shot 2</t>
  </si>
  <si>
    <t>Briar's Contempt shot 3</t>
  </si>
  <si>
    <t>Briar's Contempt shot 4</t>
  </si>
  <si>
    <t>Briar's Contempt shot 5</t>
  </si>
  <si>
    <t>Briar's Contempt shot 6</t>
  </si>
  <si>
    <t>Briar's Contempt shot 7</t>
  </si>
  <si>
    <t>Briar's Contempt shot 8</t>
  </si>
  <si>
    <t>Briar's Contempt shot 9</t>
  </si>
  <si>
    <t>Briar's Contempt shot 10</t>
  </si>
  <si>
    <t>Briar's Contempt shot 11</t>
  </si>
  <si>
    <t>Briar's Contempt shot 12</t>
  </si>
  <si>
    <t>Briar's Contempt shot 13</t>
  </si>
  <si>
    <t>Briar's Contempt shot 14 (dodge)</t>
  </si>
  <si>
    <t>Briar's Contempt shot 15</t>
  </si>
  <si>
    <t>Briar's Contempt shot 16</t>
  </si>
  <si>
    <t>Briar's Contempt shot 17</t>
  </si>
  <si>
    <t>Briar's Contempt shot 18</t>
  </si>
  <si>
    <t>Briar's Contempt shot 19</t>
  </si>
  <si>
    <t>Briar's Contempt shot 20</t>
  </si>
  <si>
    <t>Briar's Contempt shot 21</t>
  </si>
  <si>
    <t>Briar's Contempt shot 22</t>
  </si>
  <si>
    <t>Briar's Contempt shot 23</t>
  </si>
  <si>
    <t>Cataclysmic (Sixth) [23]</t>
  </si>
  <si>
    <t>Witherhoard shot 1</t>
  </si>
  <si>
    <t>Cataclysmic shot 1</t>
  </si>
  <si>
    <t>Cataclysmic shot 2</t>
  </si>
  <si>
    <t>Cataclysmic shot 3</t>
  </si>
  <si>
    <t>Cataclysmic shot 4</t>
  </si>
  <si>
    <t>Cataclysmic shot 5</t>
  </si>
  <si>
    <t>Cataclysmic shot 6</t>
  </si>
  <si>
    <t>Cataclysmic shot 7</t>
  </si>
  <si>
    <t>Cataclysmic shot 8</t>
  </si>
  <si>
    <t>Cataclysmic shot 9</t>
  </si>
  <si>
    <t>Cataclysmic shot 10</t>
  </si>
  <si>
    <t>Witherhoard shot 2</t>
  </si>
  <si>
    <t>Trace shot 2</t>
  </si>
  <si>
    <t>Cataclysmic shot 11</t>
  </si>
  <si>
    <t>Cataclysmic shot 12</t>
  </si>
  <si>
    <t>Cataclysmic shot 13</t>
  </si>
  <si>
    <t>Cataclysmic shot 14</t>
  </si>
  <si>
    <t>Cataclysmic shot 15</t>
  </si>
  <si>
    <t>Cataclysmic shot 16</t>
  </si>
  <si>
    <t>Cataclysmic shot 17</t>
  </si>
  <si>
    <t>Cataclysmic shot 18</t>
  </si>
  <si>
    <t>Cataclysmic shot 19</t>
  </si>
  <si>
    <t>Cataclysmic shot 20</t>
  </si>
  <si>
    <t>Cataclysmic shot 21</t>
  </si>
  <si>
    <t>Cataclysmic shot 22</t>
  </si>
  <si>
    <t>Witherhoard shot 3</t>
  </si>
  <si>
    <t>Trace shot 3</t>
  </si>
  <si>
    <t>Cataclysmic shot 23</t>
  </si>
  <si>
    <t>Cataclysmic shot 24</t>
  </si>
  <si>
    <t>Cataclysmic shot 25</t>
  </si>
  <si>
    <t>Cataclysmic shot 26</t>
  </si>
  <si>
    <t>Cataclysmic shot 27</t>
  </si>
  <si>
    <t>Cataclysmic shot 28</t>
  </si>
  <si>
    <t>Cataclysmic shot 29</t>
  </si>
  <si>
    <t>Cataclysmic shot 30</t>
  </si>
  <si>
    <t>Cataclysmic shot 31</t>
  </si>
  <si>
    <t>Cataclysmic shot 32</t>
  </si>
  <si>
    <t>Cataclysmic shot 33</t>
  </si>
  <si>
    <t>Cataclysmic shot 34</t>
  </si>
  <si>
    <t>Cataclysmic shot 35</t>
  </si>
  <si>
    <t>Cataclysmic shot 36</t>
  </si>
  <si>
    <t>Cataclysmic shot 37</t>
  </si>
  <si>
    <t>Cataclysmic shot 38</t>
  </si>
  <si>
    <t>Cataclysmic shot 39</t>
  </si>
  <si>
    <t>Cataclysmic shot 40</t>
  </si>
  <si>
    <t>Cataclysmic shot 41</t>
  </si>
  <si>
    <t>Cataclysmic shot 42</t>
  </si>
  <si>
    <t>Cataclysmic shot 43</t>
  </si>
  <si>
    <t>Cloudstrike Cascade HGL (SES) [x/x/19]</t>
  </si>
  <si>
    <t>The Supremacy shot 1</t>
  </si>
  <si>
    <t>The Supremacy shot 2</t>
  </si>
  <si>
    <t>Wendigo GL3 shot 1</t>
  </si>
  <si>
    <t>Wendigo GL3 shot 2</t>
  </si>
  <si>
    <t>Wendigo GL3 shot 3</t>
  </si>
  <si>
    <t>Wendigo GL3 shot 4</t>
  </si>
  <si>
    <t>Wendigo GL3 shot 5</t>
  </si>
  <si>
    <t>Wendigo GL3 shot 6</t>
  </si>
  <si>
    <t>Cloudstrike 1</t>
  </si>
  <si>
    <t>Cloudstrike 2</t>
  </si>
  <si>
    <t>Cloudstrike 3</t>
  </si>
  <si>
    <t>The Supremacy shot 3</t>
  </si>
  <si>
    <t>The Supremacy shot 4</t>
  </si>
  <si>
    <t>Wendigo GL3 shot 7</t>
  </si>
  <si>
    <t>Wendigo GL3 shot 8</t>
  </si>
  <si>
    <t>Wendigo GL3 shot 9</t>
  </si>
  <si>
    <t>Wendigo GL3 shot 10</t>
  </si>
  <si>
    <t>Wendigo GL3 shot 11</t>
  </si>
  <si>
    <t>Wendigo GL3 shot 12</t>
  </si>
  <si>
    <t>Cloudstrike 4</t>
  </si>
  <si>
    <t>Cloudstrike 5</t>
  </si>
  <si>
    <t>Cloudstrike 6</t>
  </si>
  <si>
    <t>The Supremacy shot 5</t>
  </si>
  <si>
    <t>The Supremacy shot 6</t>
  </si>
  <si>
    <t>Wendigo GL3 shot 13</t>
  </si>
  <si>
    <t>Wendigo GL3 shot 14</t>
  </si>
  <si>
    <t>Wendigo GL3 shot 15</t>
  </si>
  <si>
    <t>Wendigo GL3 shot 16</t>
  </si>
  <si>
    <t>Wendigo GL3 shot 17</t>
  </si>
  <si>
    <t>Wendigo GL3 shot 18</t>
  </si>
  <si>
    <t>Conditional pellet Apex (ROF) [22/21/9]</t>
  </si>
  <si>
    <t>Conditional Finality solar shot 1</t>
  </si>
  <si>
    <t>Mindbender's Ambition shot 1</t>
  </si>
  <si>
    <t>Conditional Finality stasis shot 1</t>
  </si>
  <si>
    <t>Mindbender's Ambition shot 2</t>
  </si>
  <si>
    <t>Conditional Finality solar shot 2</t>
  </si>
  <si>
    <t>Mindbender's Ambition shot 3</t>
  </si>
  <si>
    <t>Conditional Finality stasis shot 2</t>
  </si>
  <si>
    <t>Mindbender's Ambition shot 4</t>
  </si>
  <si>
    <t>Conditional Finality solar shot 3</t>
  </si>
  <si>
    <t>Mindbender's Ambition shot 5</t>
  </si>
  <si>
    <t>Deathbringer (RDM) [9]</t>
  </si>
  <si>
    <t>Deathbringer shot 1</t>
  </si>
  <si>
    <t>Deathbringer shot 2</t>
  </si>
  <si>
    <t>Deathbringer shot 3</t>
  </si>
  <si>
    <t>Deathbringer shot 4</t>
  </si>
  <si>
    <t>Deathbringer shot 5</t>
  </si>
  <si>
    <t>Deathbringer shot 6</t>
  </si>
  <si>
    <t>Deathbringer shot 7</t>
  </si>
  <si>
    <t>Deathbringer shot 8</t>
  </si>
  <si>
    <t>Deathbringer shot 9</t>
  </si>
  <si>
    <t>Double pellet Tractor (Dragon's) [18/18/18]</t>
  </si>
  <si>
    <t>Tractor Cannon shot 1</t>
  </si>
  <si>
    <t>Riiswalker shot 1</t>
  </si>
  <si>
    <t>Without Remorse shot 1</t>
  </si>
  <si>
    <t>Tractor Cannon shot 2</t>
  </si>
  <si>
    <t>Riiswalker shot 2</t>
  </si>
  <si>
    <t>Without Remorse shot 2</t>
  </si>
  <si>
    <t>Tractor Cannon shot 3</t>
  </si>
  <si>
    <t>Riiswalker shot 3</t>
  </si>
  <si>
    <t>Without Remorse shot 3</t>
  </si>
  <si>
    <t>Tractor Cannon shot 4</t>
  </si>
  <si>
    <t>Riiswalker shot 4</t>
  </si>
  <si>
    <t>Without Remorse shot 4</t>
  </si>
  <si>
    <t>Tractor Cannon shot 5</t>
  </si>
  <si>
    <t>Riiswalker shot 5</t>
  </si>
  <si>
    <t>Without Remorse shot 5</t>
  </si>
  <si>
    <t>Tractor Cannon shot 6</t>
  </si>
  <si>
    <t>Riiswalker shot 6</t>
  </si>
  <si>
    <t>Without Remorse shot 6</t>
  </si>
  <si>
    <t>Tractor Cannon shot 7</t>
  </si>
  <si>
    <t>Riiswalker shot 7</t>
  </si>
  <si>
    <t>Without Remorse shot 7</t>
  </si>
  <si>
    <t>Tractor Cannon shot 8 (dodge)</t>
  </si>
  <si>
    <t>Riiswalker shot 8</t>
  </si>
  <si>
    <t>Without Remorse shot 8</t>
  </si>
  <si>
    <t>Tractor Cannon shot 9</t>
  </si>
  <si>
    <t>Riiswalker shot 9</t>
  </si>
  <si>
    <t>Without Remorse shot 9</t>
  </si>
  <si>
    <t>Tractor Cannon shot 10</t>
  </si>
  <si>
    <t>Riiswalker shot 10</t>
  </si>
  <si>
    <t>Without Remorse shot 10</t>
  </si>
  <si>
    <t>Tractor Cannon shot 11</t>
  </si>
  <si>
    <t>Riiswalker shot 11</t>
  </si>
  <si>
    <t>Without Remorse shot 11</t>
  </si>
  <si>
    <t>Tractor Cannon shot 12</t>
  </si>
  <si>
    <t>Riiswalker shot 12</t>
  </si>
  <si>
    <t>Without Remorse shot 12</t>
  </si>
  <si>
    <t>Tractor Cannon shot 13</t>
  </si>
  <si>
    <t>Riiswalker shot 13</t>
  </si>
  <si>
    <t>Without Remorse shot 13</t>
  </si>
  <si>
    <t>Tractor Cannon shot 14</t>
  </si>
  <si>
    <t>Riiswalker shot 14</t>
  </si>
  <si>
    <t>Without Remorse shot 14</t>
  </si>
  <si>
    <t>Double pellet Tractor (RoF) [18/18/18]</t>
  </si>
  <si>
    <t>Tractor Cannon shot 8 (RoF)</t>
  </si>
  <si>
    <t>Tractor Cannon shot 15 (RoF)</t>
  </si>
  <si>
    <t>Without Remorse shot 15</t>
  </si>
  <si>
    <t>Riiswalker shot 15</t>
  </si>
  <si>
    <t>Tractor Cannon shot 16</t>
  </si>
  <si>
    <t>Without Remorse shot 16</t>
  </si>
  <si>
    <t>Riiswalker shot 16</t>
  </si>
  <si>
    <t>Tractor Cannon shot 17</t>
  </si>
  <si>
    <t>Without Remorse shot 17</t>
  </si>
  <si>
    <t>Riiswalker shot 17</t>
  </si>
  <si>
    <t>Tractor Cannon shot 18</t>
  </si>
  <si>
    <t>Without Remorse shot 18</t>
  </si>
  <si>
    <t>Riiswalker shot 18</t>
  </si>
  <si>
    <t>Double slug Apex (Ascent) [x/x/9]</t>
  </si>
  <si>
    <t>Heritage shot 1</t>
  </si>
  <si>
    <t>Sojourner's Tale shot 1</t>
  </si>
  <si>
    <t>Threadling Grenade (Ascent reload) 1</t>
  </si>
  <si>
    <t>Threadling Grenade (Ascent reload) 2</t>
  </si>
  <si>
    <t>Heritage shot 2</t>
  </si>
  <si>
    <t>Sojourner's Tale shot 2</t>
  </si>
  <si>
    <t>Heritage shot 3</t>
  </si>
  <si>
    <t>Sojourner's Tale shot 3</t>
  </si>
  <si>
    <t>Heritage shot 4</t>
  </si>
  <si>
    <t>Threadling Grenade (Ascent reload) 3</t>
  </si>
  <si>
    <t>Heritage shot 5</t>
  </si>
  <si>
    <t>Sojourner's Tale shot 4</t>
  </si>
  <si>
    <t>Heritage shot 6</t>
  </si>
  <si>
    <t>Sojourner's Tale shot 5</t>
  </si>
  <si>
    <t>Heritage shot 7</t>
  </si>
  <si>
    <t>Threadling Grenade (Ascent reload) 4</t>
  </si>
  <si>
    <t>Duality slug Apex (Ascent) [x/x/9]</t>
  </si>
  <si>
    <t>Duality shot 1</t>
  </si>
  <si>
    <t>Duality shot 2</t>
  </si>
  <si>
    <t>Duality shot 3</t>
  </si>
  <si>
    <t>Duality shot 4</t>
  </si>
  <si>
    <t>Duality shot 5</t>
  </si>
  <si>
    <t>Duality shot 6</t>
  </si>
  <si>
    <t>Duality shot 7</t>
  </si>
  <si>
    <t>Double Surrounded slug Parasite (Dragon's) [18/21/x]</t>
  </si>
  <si>
    <t>Parasite shot 1</t>
  </si>
  <si>
    <t>Fortissimo-11 shot 1</t>
  </si>
  <si>
    <t>Fortissimo-11 shot 2</t>
  </si>
  <si>
    <t>Fortissimo-11 shot 3</t>
  </si>
  <si>
    <t>Fortissimo-11 shot 4</t>
  </si>
  <si>
    <t>Fortissimo-11 shot 5</t>
  </si>
  <si>
    <t>Sojourner's Tale shot 6</t>
  </si>
  <si>
    <t>Parasite shot 2</t>
  </si>
  <si>
    <t>Sojourner's Tale shot 7</t>
  </si>
  <si>
    <t>Fortissimo-11 shot 6</t>
  </si>
  <si>
    <t>Sojourner's Tale shot 8</t>
  </si>
  <si>
    <t>Fortissimo-11 shot 7</t>
  </si>
  <si>
    <t>Sojourner's Tale shot 9</t>
  </si>
  <si>
    <t>Fortissimo-11 shot 8</t>
  </si>
  <si>
    <t>Sojourner's Tale shot 10</t>
  </si>
  <si>
    <t>Fortissimo-11 shot 9</t>
  </si>
  <si>
    <t>Sojourner's Tale shot 11</t>
  </si>
  <si>
    <t>Fortissimo-11 shot 10</t>
  </si>
  <si>
    <t>Sojourner's Tale shot 12</t>
  </si>
  <si>
    <t>Parasite shot 3</t>
  </si>
  <si>
    <t>Sojourner's Tale shot 13</t>
  </si>
  <si>
    <t>Fortissimo-11 shot 11</t>
  </si>
  <si>
    <t>Sojourner's Tale shot 14</t>
  </si>
  <si>
    <t>Fortissimo-11 shot 12</t>
  </si>
  <si>
    <t>Sojourner's Tale shot 15</t>
  </si>
  <si>
    <t>Fortissimo-11 shot 13</t>
  </si>
  <si>
    <t>Sojourner's Tale shot 16</t>
  </si>
  <si>
    <t>Fortissimo-11 shot 14</t>
  </si>
  <si>
    <t>Sojourner's Tale shot 17</t>
  </si>
  <si>
    <t>Fortissimo-11 shot 15</t>
  </si>
  <si>
    <t>Sojourner's Tale shot 18</t>
  </si>
  <si>
    <t>Parasite shot 4</t>
  </si>
  <si>
    <t>Sojourner's Tale shot 19</t>
  </si>
  <si>
    <t>Fortissimo-11 shot 16</t>
  </si>
  <si>
    <t>Sojourner's Tale shot 20</t>
  </si>
  <si>
    <t>Fortissimo-11 shot 17</t>
  </si>
  <si>
    <t>Sojourner's Tale shot 21</t>
  </si>
  <si>
    <t>Fortissimo-11 shot 18</t>
  </si>
  <si>
    <t>Double slug Gjallarhorn (RoF) [18/21/10]</t>
  </si>
  <si>
    <t>Gjallarhorn shot 1</t>
  </si>
  <si>
    <t>Gjallarhorn shot 2</t>
  </si>
  <si>
    <t>Gjallarhorn shot 3 (RoF)</t>
  </si>
  <si>
    <t>Gjallarhorn shot 4</t>
  </si>
  <si>
    <t>Gjallarhorn shot 5 (RoF)</t>
  </si>
  <si>
    <t>Gjallarhorn shot 6</t>
  </si>
  <si>
    <t>Gjallarhorn shot 7 (RoF)</t>
  </si>
  <si>
    <t>Gjallarhorn shot 8</t>
  </si>
  <si>
    <t>Gjallarhorn shot 9 (RoF)</t>
  </si>
  <si>
    <t>Gjallarhorn shot 10</t>
  </si>
  <si>
    <t>Double slug Tractor (Dragon's) [19/21/20]</t>
  </si>
  <si>
    <t>Nessa's Oblation shot 1</t>
  </si>
  <si>
    <t>Nessa's Oblation shot 2</t>
  </si>
  <si>
    <t>Nessa's Oblation shot 3</t>
  </si>
  <si>
    <t>Nessa's Oblation shot 4</t>
  </si>
  <si>
    <t>Nessa's Oblation shot 5</t>
  </si>
  <si>
    <t>Nessa's Oblation shot 6</t>
  </si>
  <si>
    <t>Nessa's Oblation shot 7</t>
  </si>
  <si>
    <t>Heritage shot 8</t>
  </si>
  <si>
    <t>Nessa's Oblation shot 8</t>
  </si>
  <si>
    <t>Heritage shot 9</t>
  </si>
  <si>
    <t>Nessa's Oblation shot 9</t>
  </si>
  <si>
    <t>Heritage shot 10</t>
  </si>
  <si>
    <t>Nessa's Oblation shot 10</t>
  </si>
  <si>
    <t>Heritage shot 11</t>
  </si>
  <si>
    <t>Nessa's Oblation shot 11</t>
  </si>
  <si>
    <t>Heritage shot 12</t>
  </si>
  <si>
    <t>Nessa's Oblation shot 12</t>
  </si>
  <si>
    <t>Tractor Cannon shot 3 (dodge)</t>
  </si>
  <si>
    <t>Heritage shot 13</t>
  </si>
  <si>
    <t>Nessa's Oblation shot 13</t>
  </si>
  <si>
    <t>Heritage shot 14</t>
  </si>
  <si>
    <t>Nessa's Oblation shot 14</t>
  </si>
  <si>
    <t>Heritage shot 15</t>
  </si>
  <si>
    <t>Nessa's Oblation shot 15</t>
  </si>
  <si>
    <t>Heritage shot 16</t>
  </si>
  <si>
    <t>Nessa's Oblation shot 16</t>
  </si>
  <si>
    <t>Heritage shot 17</t>
  </si>
  <si>
    <t>Nessa's Oblation shot 17</t>
  </si>
  <si>
    <t>Heritage shot 18</t>
  </si>
  <si>
    <t>Nessa's Oblation shot 18</t>
  </si>
  <si>
    <t>Double slug Tractor (RoF) [19/21/20]</t>
  </si>
  <si>
    <t>Nessa's Oblation shot 7 (RoF)</t>
  </si>
  <si>
    <t>Nessa's Oblation shot 13 (RoF)</t>
  </si>
  <si>
    <t>Nessa's Oblation shot 19 (RoF)</t>
  </si>
  <si>
    <t>Nessa's Oblation shot 20</t>
  </si>
  <si>
    <t>Nessa's Oblation shot 21</t>
  </si>
  <si>
    <t>Fortissimo-11 shot 19</t>
  </si>
  <si>
    <t>Double sniper Gjallarhorn (RoF) [26/36/10]</t>
  </si>
  <si>
    <t>IKELOS_SR_V1.0.3 shot 1</t>
  </si>
  <si>
    <t>IKELOS_SR_V1.0.3 shot 2</t>
  </si>
  <si>
    <t>IKELOS_SR_V1.0.3 shot 3</t>
  </si>
  <si>
    <t>IKELOS_SR_V1.0.3 shot 4</t>
  </si>
  <si>
    <t>IKELOS_SR_V1.0.3 shot 5</t>
  </si>
  <si>
    <t>IKELOS_SR_V1.0.3 shot 6</t>
  </si>
  <si>
    <t>IKELOS_SR_V1.0.3 shot 7</t>
  </si>
  <si>
    <t>IKELOS_SR_V1.0.3 shot 8</t>
  </si>
  <si>
    <t>Gjallarhorn shot 3</t>
  </si>
  <si>
    <t>IKELOS_SR_V1.0.3 shot 9</t>
  </si>
  <si>
    <t>IKELOS_SR_V1.0.3 shot 10</t>
  </si>
  <si>
    <t>IKELOS_SR_V1.0.3 shot 11</t>
  </si>
  <si>
    <t>IKELOS_SR_V1.0.3 shot 12</t>
  </si>
  <si>
    <t>The Supremacy shot 7</t>
  </si>
  <si>
    <t>The Supremacy shot 8</t>
  </si>
  <si>
    <t>IKELOS_SR_V1.0.3 shot 13</t>
  </si>
  <si>
    <t>IKELOS_SR_V1.0.3 shot 14</t>
  </si>
  <si>
    <t>IKELOS_SR_V1.0.3 shot 15</t>
  </si>
  <si>
    <t>IKELOS_SR_V1.0.3 shot 16</t>
  </si>
  <si>
    <t>Gjallarhorn shot 5</t>
  </si>
  <si>
    <t>The Supremacy shot 9</t>
  </si>
  <si>
    <t>The Supremacy shot 10</t>
  </si>
  <si>
    <t>IKELOS_SR_V1.0.3 shot 17</t>
  </si>
  <si>
    <t>IKELOS_SR_V1.0.3 shot 18</t>
  </si>
  <si>
    <t>IKELOS_SR_V1.0.3 shot 19</t>
  </si>
  <si>
    <t>IKELOS_SR_V1.0.3 shot 20</t>
  </si>
  <si>
    <t>The Supremacy shot 11</t>
  </si>
  <si>
    <t>The Supremacy shot 12</t>
  </si>
  <si>
    <t>IKELOS_SR_V1.0.3 shot 21</t>
  </si>
  <si>
    <t>IKELOS_SR_V1.0.3 shot 22</t>
  </si>
  <si>
    <t>IKELOS_SR_V1.0.3 shot 23</t>
  </si>
  <si>
    <t>IKELOS_SR_V1.0.3 shot 24</t>
  </si>
  <si>
    <t>Gjallarhorn shot 7</t>
  </si>
  <si>
    <t>The Supremacy shot 13</t>
  </si>
  <si>
    <t>The Supremacy shot 14</t>
  </si>
  <si>
    <t>IKELOS_SR_V1.0.3 shot 25</t>
  </si>
  <si>
    <t>IKELOS_SR_V1.0.3 shot 26</t>
  </si>
  <si>
    <t>IKELOS_SR_V1.0.3 shot 27</t>
  </si>
  <si>
    <t>IKELOS_SR_V1.0.3 shot 28</t>
  </si>
  <si>
    <t>The Supremacy shot 15</t>
  </si>
  <si>
    <t>The Supremacy shot 16</t>
  </si>
  <si>
    <t>IKELOS_SR_V1.0.3 shot 29</t>
  </si>
  <si>
    <t>IKELOS_SR_V1.0.3 shot 30</t>
  </si>
  <si>
    <t>IKELOS_SR_V1.0.3 shot 31</t>
  </si>
  <si>
    <t>IKELOS_SR_V1.0.3 shot 32</t>
  </si>
  <si>
    <t>Gjallarhorn shot 9</t>
  </si>
  <si>
    <t>The Supremacy shot 17</t>
  </si>
  <si>
    <t>The Supremacy shot 18</t>
  </si>
  <si>
    <t>IKELOS_SR_V1.0.3 shot 33</t>
  </si>
  <si>
    <t>IKELOS_SR_V1.0.3 shot 34</t>
  </si>
  <si>
    <t>IKELOS_SR_V1.0.3 shot 35</t>
  </si>
  <si>
    <t>IKELOS_SR_V1.0.3 shot 36</t>
  </si>
  <si>
    <t>FTTC Target Lock Retrofit Escapade (Gyrfalcon's) [618]</t>
  </si>
  <si>
    <t>Shadowshot: Moebius Quiver (Feast x4)</t>
  </si>
  <si>
    <t>Retrofit Escapade mag 1</t>
  </si>
  <si>
    <t>Retrofit Escapade mag 2</t>
  </si>
  <si>
    <t>Retrofit Escapade mag 3</t>
  </si>
  <si>
    <t>Retrofit Escapade mag 4</t>
  </si>
  <si>
    <t>Retrofit Escapade mag 5</t>
  </si>
  <si>
    <t>Retrofit Escapade mag 6</t>
  </si>
  <si>
    <t>Retrofit Escapade mag 7</t>
  </si>
  <si>
    <t>Heir Apparent (Sixth) [600]</t>
  </si>
  <si>
    <t>Heir Apparent mag 1</t>
  </si>
  <si>
    <t>Heir Apparent mag 2</t>
  </si>
  <si>
    <t>Heir Apparent mag 3</t>
  </si>
  <si>
    <t>Horseman Cascade GL (SES) [x/x/19]</t>
  </si>
  <si>
    <t>The Fourth Horseman mag 1</t>
  </si>
  <si>
    <t>The Fourth Horseman mag 2</t>
  </si>
  <si>
    <t>Horseman CC Hothead (RDM) [x/20/10]</t>
  </si>
  <si>
    <t>The Hothead (Pack) shot 1</t>
  </si>
  <si>
    <t>The Hothead (Pack) shot 2</t>
  </si>
  <si>
    <t>The Hothead (Pack) shot 3</t>
  </si>
  <si>
    <t>The Hothead (Pack) shot 4</t>
  </si>
  <si>
    <t>The Hothead (Pack) shot 5</t>
  </si>
  <si>
    <t>The Hothead (Pack) shot 6</t>
  </si>
  <si>
    <t>The Hothead (Pack) shot 7</t>
  </si>
  <si>
    <t>The Hothead (Pack) shot 8</t>
  </si>
  <si>
    <t>The Hothead (Pack) shot 9</t>
  </si>
  <si>
    <t>The Hothead (Pack) shot 10</t>
  </si>
  <si>
    <t>The Fourth Horseman mag 3</t>
  </si>
  <si>
    <t>The Fourth Horseman mag 4</t>
  </si>
  <si>
    <t>Horseman Grand Overture (RDM) [x/16/x]</t>
  </si>
  <si>
    <t>Grand Overture Volley (x20)</t>
  </si>
  <si>
    <t>Izanagi HGL (SES) [22/x/19]</t>
  </si>
  <si>
    <t>Regnant shot 1</t>
  </si>
  <si>
    <t>Regnant shot 2</t>
  </si>
  <si>
    <t>Regnant shot 3</t>
  </si>
  <si>
    <t>Wilderflight shot 1</t>
  </si>
  <si>
    <t>Izanagi's Burden x4 shot 1</t>
  </si>
  <si>
    <t>Regnant shot 4</t>
  </si>
  <si>
    <t>Regnant shot 5</t>
  </si>
  <si>
    <t>Regnant shot 6</t>
  </si>
  <si>
    <t>Wilderflight shot 2</t>
  </si>
  <si>
    <t>Izanagi's Burden x4 shot 2</t>
  </si>
  <si>
    <t>Regnant shot 7</t>
  </si>
  <si>
    <t>Regnant shot 8</t>
  </si>
  <si>
    <t>Regnant shot 9</t>
  </si>
  <si>
    <t>Wilderflight shot 3</t>
  </si>
  <si>
    <t>Izanagi's Burden x4 shot 3</t>
  </si>
  <si>
    <t>Regnant shot 10</t>
  </si>
  <si>
    <t>Regnant shot 11</t>
  </si>
  <si>
    <t>Regnant shot 12</t>
  </si>
  <si>
    <t>Wilderflight shot 4</t>
  </si>
  <si>
    <t>Izanagi's Burden x4 shot 4</t>
  </si>
  <si>
    <t>Regnant shot 13</t>
  </si>
  <si>
    <t>Regnant shot 14</t>
  </si>
  <si>
    <t>Regnant shot 15</t>
  </si>
  <si>
    <t>Wilderflight shot 5</t>
  </si>
  <si>
    <t>Izanagi's Burden x4 shot 5</t>
  </si>
  <si>
    <t>Regnant shot 16</t>
  </si>
  <si>
    <t>Regnant shot 17</t>
  </si>
  <si>
    <t>Regnant shot 18</t>
  </si>
  <si>
    <t>Wilderflight shot 6</t>
  </si>
  <si>
    <t>Izanagi's Burden x4 shot 6</t>
  </si>
  <si>
    <t>Regnant shot 19</t>
  </si>
  <si>
    <t>Izanagi Slideways Apex (Ascent) [22/x/9]</t>
  </si>
  <si>
    <t>Izanagi slug Apex (Ascent) [22/x/9]</t>
  </si>
  <si>
    <t>Izanagi slug Apex, no Pack (Ascent) [22/x/9]</t>
  </si>
  <si>
    <t>Izanagi sniper Apex (Dragon's) [22/x/9]</t>
  </si>
  <si>
    <t>Distant Tumulus shot 1</t>
  </si>
  <si>
    <t>Distant Tumulus shot 2</t>
  </si>
  <si>
    <t>Distant Tumulus shot 3</t>
  </si>
  <si>
    <t>Distant Tumulus shot 4</t>
  </si>
  <si>
    <t>Distant Tumulus shot 5</t>
  </si>
  <si>
    <t>Distant Tumulus shot 6</t>
  </si>
  <si>
    <t>Distant Tumulus shot 7</t>
  </si>
  <si>
    <t>Legend of Acrius (SES) [19]</t>
  </si>
  <si>
    <t>Melee 1</t>
  </si>
  <si>
    <t>Legend of Acrius shot 1</t>
  </si>
  <si>
    <t>Legend of Acrius shot 2</t>
  </si>
  <si>
    <t>Legend of Acrius shot 3</t>
  </si>
  <si>
    <t>Melee 2</t>
  </si>
  <si>
    <t>Legend of Acrius shot 4</t>
  </si>
  <si>
    <t>Legend of Acrius shot 5</t>
  </si>
  <si>
    <t>Legend of Acrius shot 6</t>
  </si>
  <si>
    <t>Melee 3</t>
  </si>
  <si>
    <t>Legend of Acrius shot 7</t>
  </si>
  <si>
    <t>Legend of Acrius shot 8</t>
  </si>
  <si>
    <t>Legend of Acrius shot 9</t>
  </si>
  <si>
    <t>Melee 4</t>
  </si>
  <si>
    <t>Legend of Acrius shot 10</t>
  </si>
  <si>
    <t>Legend of Acrius shot 11</t>
  </si>
  <si>
    <t>Legend of Acrius shot 12</t>
  </si>
  <si>
    <t>Melee 5</t>
  </si>
  <si>
    <t>Legend of Acrius shot 13</t>
  </si>
  <si>
    <t>Legend of Acrius shot 14</t>
  </si>
  <si>
    <t>Legend of Acrius shot 15</t>
  </si>
  <si>
    <t>Melee 6</t>
  </si>
  <si>
    <t>Legend of Acrius shot 16</t>
  </si>
  <si>
    <t>Legend of Acrius shot 17</t>
  </si>
  <si>
    <t>Legend of Acrius shot 18</t>
  </si>
  <si>
    <t>Melee 7</t>
  </si>
  <si>
    <t>Legend of Acrius shot 19</t>
  </si>
  <si>
    <t>Leviathan's Breath (SES) [15]</t>
  </si>
  <si>
    <t>Leviathan's Breath shot 1</t>
  </si>
  <si>
    <t>Leviathan's Breath shot 2</t>
  </si>
  <si>
    <t>Leviathan's Breath shot 3</t>
  </si>
  <si>
    <t>Leviathan's Breath shot 4</t>
  </si>
  <si>
    <t>Leviathan's Breath shot 5</t>
  </si>
  <si>
    <t>Leviathan's Breath shot 6</t>
  </si>
  <si>
    <t>Leviathan's Breath shot 7</t>
  </si>
  <si>
    <t>Leviathan's Breath shot 8</t>
  </si>
  <si>
    <t>Leviathan's Breath shot 9</t>
  </si>
  <si>
    <t>Leviathan's Breath shot 10</t>
  </si>
  <si>
    <t>Leviathan's Breath shot 11</t>
  </si>
  <si>
    <t>Leviathan's Breath shot 12</t>
  </si>
  <si>
    <t>Leviathan's Breath shot 13</t>
  </si>
  <si>
    <t>Leviathan's Breath shot 14</t>
  </si>
  <si>
    <t>Leviathan's Breath shot 15</t>
  </si>
  <si>
    <t>Malfeasance Blade Apex (Lucky Pants) [x/x/9]</t>
  </si>
  <si>
    <t>Malfeasance 15 shot burst 1</t>
  </si>
  <si>
    <t>IKELOS_SG_V1.0.3 shot 1</t>
  </si>
  <si>
    <t>IKELOS_SG_V1.0.3 shot 2</t>
  </si>
  <si>
    <t>IKELOS_SG_V1.0.3 shot 3</t>
  </si>
  <si>
    <t>IKELOS_SG_V1.0.3 shot 4</t>
  </si>
  <si>
    <t>IKELOS_SG_V1.0.3 shot 5</t>
  </si>
  <si>
    <t>IKELOS_SG_V1.0.3 shot 6</t>
  </si>
  <si>
    <t>IKELOS_SG_V1.0.3 shot 7</t>
  </si>
  <si>
    <t>IKELOS_SG_V1.0.3 shot 8</t>
  </si>
  <si>
    <t>IKELOS_SG_V1.0.3 shot 9</t>
  </si>
  <si>
    <t>IKELOS_SG_V1.0.3 shot 10</t>
  </si>
  <si>
    <t>IKELOS_SG_V1.0.3 shot 11</t>
  </si>
  <si>
    <t>IKELOS_SG_V1.0.3 shot 12</t>
  </si>
  <si>
    <t>IKELOS_SG_V1.0.3 shot 13</t>
  </si>
  <si>
    <t>IKELOS_SG_V1.0.3 shot 14</t>
  </si>
  <si>
    <t>IKELOS_SG_V1.0.3 shot 15</t>
  </si>
  <si>
    <t>IKELOS_SG_V1.0.3 shot 16</t>
  </si>
  <si>
    <t>Malfeasance Impetus Apex (Lucky Pants) [x/x/9]</t>
  </si>
  <si>
    <t>Malfeasance 15 shot burst 2</t>
  </si>
  <si>
    <t>IKELOS_SG_V1.0.3 shot 17</t>
  </si>
  <si>
    <t>Merciless (RDM) [22]</t>
  </si>
  <si>
    <t>Merciless burst 1 shot 1</t>
  </si>
  <si>
    <t>Merciless burst 1 shot 2</t>
  </si>
  <si>
    <t>Merciless burst 1 shot 3</t>
  </si>
  <si>
    <t>Merciless burst 1 shot 4</t>
  </si>
  <si>
    <t>Merciless burst 1 shot 5</t>
  </si>
  <si>
    <t>Merciless burst 1 shot 6</t>
  </si>
  <si>
    <t>Merciless burst 1 shot 7</t>
  </si>
  <si>
    <t>Merciless burst 2 shot 1</t>
  </si>
  <si>
    <t>Merciless burst 2 shot 2</t>
  </si>
  <si>
    <t>Merciless burst 2 shot 3</t>
  </si>
  <si>
    <t>Merciless burst 2 shot 4</t>
  </si>
  <si>
    <t>Merciless burst 2 shot 5</t>
  </si>
  <si>
    <t>Merciless burst 2 shot 6</t>
  </si>
  <si>
    <t>Merciless burst 2 shot 7</t>
  </si>
  <si>
    <t>Merciless burst 3 shot 1</t>
  </si>
  <si>
    <t>Merciless burst 3 shot 2</t>
  </si>
  <si>
    <t>Merciless burst 3 shot 3</t>
  </si>
  <si>
    <t>Merciless burst 3 shot 4</t>
  </si>
  <si>
    <t>Merciless burst 3 shot 5</t>
  </si>
  <si>
    <t>Sleeper Simulant (Sixth) [16]</t>
  </si>
  <si>
    <t>Sleeper Simulant shot 1</t>
  </si>
  <si>
    <t>Sleeper Simulant shot 2</t>
  </si>
  <si>
    <t>Sleeper Simulant shot 3</t>
  </si>
  <si>
    <t>Sleeper Simulant shot 4</t>
  </si>
  <si>
    <t>Sleeper Simulant shot 5 (dodge)</t>
  </si>
  <si>
    <t>Sleeper Simulant shot 6</t>
  </si>
  <si>
    <t>Sleeper Simulant shot 7</t>
  </si>
  <si>
    <t>Sleeper Simulant shot 8</t>
  </si>
  <si>
    <t>Sleeper Simulant shot 9 (dodge)</t>
  </si>
  <si>
    <t>Sleeper Simulant shot 10</t>
  </si>
  <si>
    <t>Sleeper Simulant shot 11</t>
  </si>
  <si>
    <t>Sleeper Simulant shot 12</t>
  </si>
  <si>
    <t>Sleeper Simulant shot 13 (dodge)</t>
  </si>
  <si>
    <t>Sleeper Simulant shot 14</t>
  </si>
  <si>
    <t>Sleeper Simulant shot 15</t>
  </si>
  <si>
    <t>Sleeper Simulant shot 16</t>
  </si>
  <si>
    <t>Taipan-4fr (Sixth) [23]</t>
  </si>
  <si>
    <t>Taipan-4fr shot 1</t>
  </si>
  <si>
    <t>Taipan-4fr shot 2</t>
  </si>
  <si>
    <t>Taipan-4fr shot 3</t>
  </si>
  <si>
    <t>Taipan-4fr shot 4</t>
  </si>
  <si>
    <t>Taipan-4fr shot 5</t>
  </si>
  <si>
    <t>Taipan-4fr shot 6</t>
  </si>
  <si>
    <t>Taipan-4fr shot 7</t>
  </si>
  <si>
    <t>Taipan-4fr shot 8 (dodge)</t>
  </si>
  <si>
    <t>Taipan-4fr shot 9</t>
  </si>
  <si>
    <t>Taipan-4fr shot 10</t>
  </si>
  <si>
    <t>Taipan-4fr shot 11</t>
  </si>
  <si>
    <t>Taipan-4fr shot 12</t>
  </si>
  <si>
    <t>Taipan-4fr shot 13</t>
  </si>
  <si>
    <t>Taipan-4fr shot 14</t>
  </si>
  <si>
    <t>Taipan-4fr shot 15 (dodge)</t>
  </si>
  <si>
    <t>Taipan-4fr shot 16</t>
  </si>
  <si>
    <t>Taipan-4fr shot 17</t>
  </si>
  <si>
    <t>Taipan-4fr shot 18</t>
  </si>
  <si>
    <t>Taipan-4fr shot 19</t>
  </si>
  <si>
    <t>Taipan-4fr shot 20</t>
  </si>
  <si>
    <t>Taipan-4fr shot 21</t>
  </si>
  <si>
    <t>Taipan-4fr shot 22</t>
  </si>
  <si>
    <t>Taipan-4fr shot 23 (dodge)</t>
  </si>
  <si>
    <t>Taipan-4fr shot 24</t>
  </si>
  <si>
    <t>Taipan-4fr shot 25</t>
  </si>
  <si>
    <t>Taipan-4fr shot 26</t>
  </si>
  <si>
    <t>Taipan-4fr shot 27</t>
  </si>
  <si>
    <t>Taipan-4fr shot 28</t>
  </si>
  <si>
    <t>Taipan-4fr shot 29</t>
  </si>
  <si>
    <t>Taipan-4fr shot 30 (dodge)</t>
  </si>
  <si>
    <t>Taipan-4fr shot 31</t>
  </si>
  <si>
    <t>Taipan-4fr shot 32</t>
  </si>
  <si>
    <t>Taipan-4fr shot 33</t>
  </si>
  <si>
    <t>Taipan-4fr shot 34</t>
  </si>
  <si>
    <t>The Fourth Horseman (RDM) [20]</t>
  </si>
  <si>
    <t>Thunderlord (Sixth) [409]</t>
  </si>
  <si>
    <t>Thunderlord mag 1</t>
  </si>
  <si>
    <t>Thunderlord mag 2</t>
  </si>
  <si>
    <t>Thunderlord mag 3</t>
  </si>
  <si>
    <t>Two-Tailed Fox (RDM) [10]</t>
  </si>
  <si>
    <t>Two-Tailed Fox shot 1</t>
  </si>
  <si>
    <t>Two-Tailed Fox shot 2</t>
  </si>
  <si>
    <t>Two-Tailed Fox shot 3</t>
  </si>
  <si>
    <t>Two-Tailed Fox shot 4</t>
  </si>
  <si>
    <t>Two-Tailed Fox shot 5</t>
  </si>
  <si>
    <t>Two-Tailed Fox shot 6</t>
  </si>
  <si>
    <t>Two-Tailed Fox shot 7</t>
  </si>
  <si>
    <t>Two-Tailed Fox shot 8</t>
  </si>
  <si>
    <t>Two-Tailed Fox shot 9</t>
  </si>
  <si>
    <t>Two-Tailed Fox shot 10</t>
  </si>
  <si>
    <t>Whisper of the Worm (SES) [24]</t>
  </si>
  <si>
    <t>Whisper of the Worm shot 1</t>
  </si>
  <si>
    <t>Whisper of the Worm shot 2</t>
  </si>
  <si>
    <t>Whisper of the Worm shot 3</t>
  </si>
  <si>
    <t>Whisper of the Worm shot 4</t>
  </si>
  <si>
    <t>Whisper of the Worm shot 5</t>
  </si>
  <si>
    <t>Whisper of the Worm shot 6</t>
  </si>
  <si>
    <t>Whisper of the Worm shot 7</t>
  </si>
  <si>
    <t>Whisper of the Worm shot 8</t>
  </si>
  <si>
    <t>Whisper of the Worm shot 9</t>
  </si>
  <si>
    <t>Whisper of the Worm shot 10</t>
  </si>
  <si>
    <t>Whisper of the Worm shot 11</t>
  </si>
  <si>
    <t>Whisper of the Worm shot 12</t>
  </si>
  <si>
    <t>Whisper of the Worm shot 13</t>
  </si>
  <si>
    <t>Whisper of the Worm shot 14</t>
  </si>
  <si>
    <t>Whisper of the Worm shot 15</t>
  </si>
  <si>
    <t>Whisper of the Worm shot 16</t>
  </si>
  <si>
    <t>Whisper of the Worm shot 17</t>
  </si>
  <si>
    <t>Whisper of the Worm shot 18</t>
  </si>
  <si>
    <t>Whisper of the Worm shot 19</t>
  </si>
  <si>
    <t>Whisper of the Worm shot 20</t>
  </si>
  <si>
    <t>Whisper of the Worm shot 21</t>
  </si>
  <si>
    <t>Whisper of the Worm shot 22</t>
  </si>
  <si>
    <t>Whisper of the Worm shot 23</t>
  </si>
  <si>
    <t>Whisper of the Worm shot 24</t>
  </si>
  <si>
    <t>Whisper of the Worm shot 25</t>
  </si>
  <si>
    <t>Whisper of the Worm shot 26</t>
  </si>
  <si>
    <t>Whisper of the Worm shot 27</t>
  </si>
  <si>
    <t>Whisper of the Worm shot 28</t>
  </si>
  <si>
    <t>Whisper of the Worm shot 29</t>
  </si>
  <si>
    <t>Whisper of the Worm shot 30</t>
  </si>
  <si>
    <t>Whisper of the Worm shot 31</t>
  </si>
  <si>
    <t>Whisper of the Worm shot 32</t>
  </si>
  <si>
    <t>Whisper of the Worm shot 33</t>
  </si>
  <si>
    <t>Whisper of the Worm shot 34</t>
  </si>
  <si>
    <t>Whisper of the Worm shot 35</t>
  </si>
  <si>
    <t>Witherhoard Demo Apex (Starfire) [x/x/9]</t>
  </si>
  <si>
    <t>Touch of Flame fusion grenade 1</t>
  </si>
  <si>
    <t>Touch of Flame fusion grenade 2</t>
  </si>
  <si>
    <t>Touch of Flame fusion grenade 3</t>
  </si>
  <si>
    <t>Touch of Flame fusion grenade 4</t>
  </si>
  <si>
    <t>Touch of Flame fusion grenade 5</t>
  </si>
  <si>
    <t>Witherhoard Demo Apex (Verity's) [x/x/9]</t>
  </si>
  <si>
    <t>Witherhoard shot 2 (stack)</t>
  </si>
  <si>
    <t>Touch of Flame fusion grenade 6</t>
  </si>
  <si>
    <t>Touch of Flame fusion grenade 7</t>
  </si>
  <si>
    <t>Xenophage (RDM) [34]</t>
  </si>
  <si>
    <t>Xenophage shot 1</t>
  </si>
  <si>
    <t>Xenophage shot 2</t>
  </si>
  <si>
    <t>Xenophage shot 3</t>
  </si>
  <si>
    <t>Xenophage shot 4</t>
  </si>
  <si>
    <t>Xenophage shot 5</t>
  </si>
  <si>
    <t>Xenophage shot 6</t>
  </si>
  <si>
    <t>Xenophage shot 7</t>
  </si>
  <si>
    <t>Xenophage shot 8</t>
  </si>
  <si>
    <t>Xenophage shot 9</t>
  </si>
  <si>
    <t>Xenophage shot 10</t>
  </si>
  <si>
    <t>Xenophage shot 11</t>
  </si>
  <si>
    <t>Xenophage shot 12</t>
  </si>
  <si>
    <t>Xenophage shot 13</t>
  </si>
  <si>
    <t>Xenophage shot 14 (dodge)</t>
  </si>
  <si>
    <t>Xenophage shot 15</t>
  </si>
  <si>
    <t>Xenophage shot 16</t>
  </si>
  <si>
    <t>Xenophage shot 17</t>
  </si>
  <si>
    <t>Xenophage shot 18</t>
  </si>
  <si>
    <t>Xenophage shot 19</t>
  </si>
  <si>
    <t>Xenophage shot 20</t>
  </si>
  <si>
    <t>Xenophage shot 21</t>
  </si>
  <si>
    <t>Xenophage shot 22 (dodge)</t>
  </si>
  <si>
    <t>Xenophage shot 23</t>
  </si>
  <si>
    <t>Xenophage shot 24</t>
  </si>
  <si>
    <t>Xenophage shot 25</t>
  </si>
  <si>
    <t>Xenophage shot 26</t>
  </si>
  <si>
    <t>Xenophage shot 27</t>
  </si>
  <si>
    <t>Xenophage shot 28</t>
  </si>
  <si>
    <t>Xenophage shot 29</t>
  </si>
  <si>
    <t>Xenophage shot 30</t>
  </si>
  <si>
    <t>Xenophage shot 31</t>
  </si>
  <si>
    <t>Xenophage shot 32</t>
  </si>
  <si>
    <t>Xenophage shot 33</t>
  </si>
  <si>
    <t>Xenophage shot 34</t>
  </si>
  <si>
    <t>Exotic(s)</t>
  </si>
  <si>
    <t>Source</t>
  </si>
  <si>
    <r>
      <rPr>
        <sz val="10"/>
        <color theme="1"/>
        <rFont val="Arial"/>
      </rPr>
      <t xml:space="preserve">Blade Barrage
</t>
    </r>
    <r>
      <rPr>
        <i/>
        <sz val="10"/>
        <color theme="1"/>
        <rFont val="Arial"/>
      </rPr>
      <t>Feast of Light x4</t>
    </r>
  </si>
  <si>
    <r>
      <rPr>
        <sz val="10"/>
        <color theme="1"/>
        <rFont val="Arial"/>
      </rPr>
      <t xml:space="preserve">Izanagi's Burden
</t>
    </r>
    <r>
      <rPr>
        <i/>
        <sz val="10"/>
        <color theme="1"/>
        <rFont val="Arial"/>
      </rPr>
      <t>Honed Edge x4</t>
    </r>
  </si>
  <si>
    <r>
      <rPr>
        <sz val="10"/>
        <color theme="1"/>
        <rFont val="Arial"/>
      </rPr>
      <t xml:space="preserve">Cold Comfort
</t>
    </r>
    <r>
      <rPr>
        <i/>
        <sz val="10"/>
        <color theme="1"/>
        <rFont val="Arial"/>
      </rPr>
      <t>7 &gt; 2 &gt; 2 &gt; ...</t>
    </r>
  </si>
  <si>
    <r>
      <rPr>
        <sz val="10"/>
        <color theme="1"/>
        <rFont val="Arial"/>
      </rPr>
      <t xml:space="preserve">Blade Barrage
</t>
    </r>
    <r>
      <rPr>
        <i/>
        <sz val="10"/>
        <color theme="1"/>
        <rFont val="Arial"/>
      </rPr>
      <t>Feast of Light x4</t>
    </r>
  </si>
  <si>
    <r>
      <rPr>
        <sz val="10"/>
        <color theme="1"/>
        <rFont val="Arial"/>
      </rPr>
      <t xml:space="preserve">Izanagi's Burden
</t>
    </r>
    <r>
      <rPr>
        <i/>
        <sz val="10"/>
        <color theme="1"/>
        <rFont val="Arial"/>
      </rPr>
      <t>Honed Edge x4</t>
    </r>
  </si>
  <si>
    <r>
      <rPr>
        <sz val="10"/>
        <color theme="1"/>
        <rFont val="Arial"/>
      </rPr>
      <t xml:space="preserve">Wilderflight
</t>
    </r>
    <r>
      <rPr>
        <i/>
        <sz val="10"/>
        <color theme="1"/>
        <rFont val="Arial"/>
      </rPr>
      <t>Frenzy</t>
    </r>
  </si>
  <si>
    <r>
      <rPr>
        <sz val="10"/>
        <color theme="1"/>
        <rFont val="Arial"/>
      </rPr>
      <t xml:space="preserve">Apex Predator
</t>
    </r>
    <r>
      <rPr>
        <i/>
        <sz val="10"/>
        <color theme="1"/>
        <rFont val="Arial"/>
      </rPr>
      <t>2 &gt; 1 &gt; 1 &gt; ...</t>
    </r>
  </si>
  <si>
    <r>
      <rPr>
        <sz val="10"/>
        <color theme="1"/>
        <rFont val="Arial"/>
      </rPr>
      <t xml:space="preserve">Blade Barrage
</t>
    </r>
    <r>
      <rPr>
        <i/>
        <sz val="10"/>
        <color theme="1"/>
        <rFont val="Arial"/>
      </rPr>
      <t>Feast of Light x4</t>
    </r>
  </si>
  <si>
    <r>
      <rPr>
        <sz val="10"/>
        <color theme="1"/>
        <rFont val="Arial"/>
      </rPr>
      <t xml:space="preserve">Izanagi's Burden
</t>
    </r>
    <r>
      <rPr>
        <i/>
        <sz val="10"/>
        <color theme="1"/>
        <rFont val="Arial"/>
      </rPr>
      <t>Honed Edge x4</t>
    </r>
  </si>
  <si>
    <r>
      <rPr>
        <sz val="10"/>
        <color theme="1"/>
        <rFont val="Arial"/>
      </rPr>
      <t xml:space="preserve">Wilderflight
</t>
    </r>
    <r>
      <rPr>
        <i/>
        <sz val="10"/>
        <color theme="1"/>
        <rFont val="Arial"/>
      </rPr>
      <t>Frenzy</t>
    </r>
  </si>
  <si>
    <r>
      <rPr>
        <sz val="10"/>
        <color theme="1"/>
        <rFont val="Arial"/>
      </rPr>
      <t xml:space="preserve">Cold Comfort
</t>
    </r>
    <r>
      <rPr>
        <i/>
        <sz val="10"/>
        <color theme="1"/>
        <rFont val="Arial"/>
      </rPr>
      <t>4 &gt; 1 &gt; 1 &gt; ...</t>
    </r>
  </si>
  <si>
    <r>
      <rPr>
        <sz val="10"/>
        <color theme="1"/>
        <rFont val="Arial"/>
      </rPr>
      <t xml:space="preserve">Blade Barrage
</t>
    </r>
    <r>
      <rPr>
        <i/>
        <sz val="10"/>
        <color theme="1"/>
        <rFont val="Arial"/>
      </rPr>
      <t>Feast of Light x4</t>
    </r>
  </si>
  <si>
    <r>
      <rPr>
        <sz val="10"/>
        <color theme="1"/>
        <rFont val="Arial"/>
      </rPr>
      <t xml:space="preserve">Izanagi's Burden
</t>
    </r>
    <r>
      <rPr>
        <i/>
        <sz val="10"/>
        <color theme="1"/>
        <rFont val="Arial"/>
      </rPr>
      <t>Honed Edge x4</t>
    </r>
  </si>
  <si>
    <r>
      <rPr>
        <sz val="10"/>
        <color theme="1"/>
        <rFont val="Arial"/>
      </rPr>
      <t xml:space="preserve">Briar's Contempt
</t>
    </r>
    <r>
      <rPr>
        <i/>
        <sz val="10"/>
        <color theme="1"/>
        <rFont val="Arial"/>
      </rPr>
      <t>e. Surrounded</t>
    </r>
  </si>
  <si>
    <r>
      <rPr>
        <sz val="10"/>
        <color theme="1"/>
        <rFont val="Arial"/>
      </rPr>
      <t xml:space="preserve">Wilderflight
</t>
    </r>
    <r>
      <rPr>
        <i/>
        <sz val="10"/>
        <color theme="1"/>
        <rFont val="Arial"/>
      </rPr>
      <t>Frenzy</t>
    </r>
  </si>
  <si>
    <r>
      <rPr>
        <sz val="10"/>
        <color theme="1"/>
        <rFont val="Arial"/>
      </rPr>
      <t xml:space="preserve">Blade Barrage
</t>
    </r>
    <r>
      <rPr>
        <i/>
        <sz val="10"/>
        <color theme="1"/>
        <rFont val="Arial"/>
      </rPr>
      <t>Feast of Light x4</t>
    </r>
  </si>
  <si>
    <r>
      <rPr>
        <sz val="10"/>
        <color theme="1"/>
        <rFont val="Arial"/>
      </rPr>
      <t xml:space="preserve">Witherhoard
</t>
    </r>
    <r>
      <rPr>
        <i/>
        <sz val="10"/>
        <color theme="1"/>
        <rFont val="Arial"/>
      </rPr>
      <t>direct impact</t>
    </r>
  </si>
  <si>
    <r>
      <rPr>
        <sz val="10"/>
        <color theme="1"/>
        <rFont val="Arial"/>
      </rPr>
      <t xml:space="preserve">Cataclysmic
</t>
    </r>
    <r>
      <rPr>
        <i/>
        <sz val="10"/>
        <color theme="1"/>
        <rFont val="Arial"/>
      </rPr>
      <t>Bait and Switch</t>
    </r>
  </si>
  <si>
    <r>
      <rPr>
        <sz val="10"/>
        <color theme="1"/>
        <rFont val="Arial"/>
      </rPr>
      <t xml:space="preserve">Witherhoard
</t>
    </r>
    <r>
      <rPr>
        <i/>
        <sz val="10"/>
        <color theme="1"/>
        <rFont val="Arial"/>
      </rPr>
      <t>direct impact</t>
    </r>
  </si>
  <si>
    <r>
      <rPr>
        <sz val="10"/>
        <color theme="1"/>
        <rFont val="Arial"/>
      </rPr>
      <t xml:space="preserve">Wilderflight
</t>
    </r>
    <r>
      <rPr>
        <i/>
        <sz val="10"/>
        <color theme="1"/>
        <rFont val="Arial"/>
      </rPr>
      <t>Frenzy</t>
    </r>
  </si>
  <si>
    <r>
      <rPr>
        <sz val="10"/>
        <color theme="1"/>
        <rFont val="Arial"/>
      </rPr>
      <t xml:space="preserve">Cataclysmic
</t>
    </r>
    <r>
      <rPr>
        <i/>
        <sz val="10"/>
        <color theme="1"/>
        <rFont val="Arial"/>
      </rPr>
      <t>Bait and Switch</t>
    </r>
  </si>
  <si>
    <r>
      <rPr>
        <sz val="10"/>
        <color theme="1"/>
        <rFont val="Arial"/>
      </rPr>
      <t xml:space="preserve">Witherhoard
</t>
    </r>
    <r>
      <rPr>
        <i/>
        <sz val="10"/>
        <color theme="1"/>
        <rFont val="Arial"/>
      </rPr>
      <t>direct impact</t>
    </r>
  </si>
  <si>
    <r>
      <rPr>
        <sz val="10"/>
        <color theme="1"/>
        <rFont val="Arial"/>
      </rPr>
      <t xml:space="preserve">Wilderflight
</t>
    </r>
    <r>
      <rPr>
        <i/>
        <sz val="10"/>
        <color theme="1"/>
        <rFont val="Arial"/>
      </rPr>
      <t>Frenzy</t>
    </r>
  </si>
  <si>
    <r>
      <rPr>
        <sz val="10"/>
        <color theme="1"/>
        <rFont val="Arial"/>
      </rPr>
      <t xml:space="preserve">Cataclysmic
</t>
    </r>
    <r>
      <rPr>
        <i/>
        <sz val="10"/>
        <color theme="1"/>
        <rFont val="Arial"/>
      </rPr>
      <t>Bait and Switch</t>
    </r>
  </si>
  <si>
    <r>
      <rPr>
        <sz val="10"/>
        <color theme="1"/>
        <rFont val="Arial"/>
      </rPr>
      <t xml:space="preserve">Witherhoard
</t>
    </r>
    <r>
      <rPr>
        <i/>
        <sz val="10"/>
        <color theme="1"/>
        <rFont val="Arial"/>
      </rPr>
      <t>direct impact</t>
    </r>
  </si>
  <si>
    <r>
      <rPr>
        <sz val="10"/>
        <color theme="1"/>
        <rFont val="Arial"/>
      </rPr>
      <t xml:space="preserve">Wilderflight
</t>
    </r>
    <r>
      <rPr>
        <i/>
        <sz val="10"/>
        <color theme="1"/>
        <rFont val="Arial"/>
      </rPr>
      <t>Frenzy</t>
    </r>
  </si>
  <si>
    <r>
      <rPr>
        <sz val="10"/>
        <color theme="1"/>
        <rFont val="Arial"/>
      </rPr>
      <t xml:space="preserve">Cataclysmic
</t>
    </r>
    <r>
      <rPr>
        <i/>
        <sz val="10"/>
        <color theme="1"/>
        <rFont val="Arial"/>
      </rPr>
      <t>Bait and Switch</t>
    </r>
  </si>
  <si>
    <r>
      <rPr>
        <sz val="10"/>
        <color theme="1"/>
        <rFont val="Arial"/>
      </rPr>
      <t xml:space="preserve">Blade Barrage
</t>
    </r>
    <r>
      <rPr>
        <i/>
        <sz val="10"/>
        <color theme="1"/>
        <rFont val="Arial"/>
      </rPr>
      <t>Feast of Light x4</t>
    </r>
  </si>
  <si>
    <r>
      <rPr>
        <sz val="10"/>
        <color theme="1"/>
        <rFont val="Arial"/>
      </rPr>
      <t xml:space="preserve">The Supremacy
</t>
    </r>
    <r>
      <rPr>
        <i/>
        <sz val="10"/>
        <color theme="1"/>
        <rFont val="Arial"/>
      </rPr>
      <t>Kinetic Tremors</t>
    </r>
  </si>
  <si>
    <r>
      <rPr>
        <sz val="10"/>
        <color theme="1"/>
        <rFont val="Arial"/>
      </rPr>
      <t xml:space="preserve">Wendigo GL3
</t>
    </r>
    <r>
      <rPr>
        <i/>
        <sz val="10"/>
        <color theme="1"/>
        <rFont val="Arial"/>
      </rPr>
      <t>Cascade Point</t>
    </r>
  </si>
  <si>
    <r>
      <rPr>
        <sz val="10"/>
        <color theme="1"/>
        <rFont val="Arial"/>
      </rPr>
      <t xml:space="preserve">The Supremacy
</t>
    </r>
    <r>
      <rPr>
        <i/>
        <sz val="10"/>
        <color theme="1"/>
        <rFont val="Arial"/>
      </rPr>
      <t>Kinetic Tremors</t>
    </r>
  </si>
  <si>
    <r>
      <rPr>
        <sz val="10"/>
        <color theme="1"/>
        <rFont val="Arial"/>
      </rPr>
      <t xml:space="preserve">Wendigo GL3
</t>
    </r>
    <r>
      <rPr>
        <i/>
        <sz val="10"/>
        <color theme="1"/>
        <rFont val="Arial"/>
      </rPr>
      <t>Cascade Point</t>
    </r>
  </si>
  <si>
    <r>
      <rPr>
        <sz val="10"/>
        <color theme="1"/>
        <rFont val="Arial"/>
      </rPr>
      <t xml:space="preserve">The Supremacy
</t>
    </r>
    <r>
      <rPr>
        <i/>
        <sz val="10"/>
        <color theme="1"/>
        <rFont val="Arial"/>
      </rPr>
      <t>Kinetic Tremors</t>
    </r>
  </si>
  <si>
    <r>
      <rPr>
        <sz val="10"/>
        <color theme="1"/>
        <rFont val="Arial"/>
      </rPr>
      <t xml:space="preserve">Wendigo GL3
</t>
    </r>
    <r>
      <rPr>
        <i/>
        <sz val="10"/>
        <color theme="1"/>
        <rFont val="Arial"/>
      </rPr>
      <t>Cascade Point</t>
    </r>
  </si>
  <si>
    <r>
      <rPr>
        <sz val="10"/>
        <color theme="1"/>
        <rFont val="Arial"/>
      </rPr>
      <t xml:space="preserve">Conditional Finality
Mindbender's Ambition
</t>
    </r>
    <r>
      <rPr>
        <i/>
        <sz val="10"/>
        <color theme="1"/>
        <rFont val="Arial"/>
      </rPr>
      <t>Vorpal Weapon</t>
    </r>
  </si>
  <si>
    <r>
      <rPr>
        <sz val="10"/>
        <color theme="1"/>
        <rFont val="Arial"/>
      </rPr>
      <t xml:space="preserve">Apex Predator
</t>
    </r>
    <r>
      <rPr>
        <i/>
        <sz val="10"/>
        <color theme="1"/>
        <rFont val="Arial"/>
      </rPr>
      <t>2 &gt; 1 &gt; 1 &gt; 1</t>
    </r>
  </si>
  <si>
    <r>
      <rPr>
        <sz val="10"/>
        <color theme="1"/>
        <rFont val="Arial"/>
      </rPr>
      <t xml:space="preserve">Conditional Finality
Mindbender's Ambition
</t>
    </r>
    <r>
      <rPr>
        <i/>
        <sz val="10"/>
        <color theme="1"/>
        <rFont val="Arial"/>
      </rPr>
      <t>Vorpal Weapon</t>
    </r>
  </si>
  <si>
    <r>
      <rPr>
        <sz val="10"/>
        <color theme="1"/>
        <rFont val="Arial"/>
      </rPr>
      <t xml:space="preserve">Apex Predator
</t>
    </r>
    <r>
      <rPr>
        <i/>
        <sz val="10"/>
        <color theme="1"/>
        <rFont val="Arial"/>
      </rPr>
      <t>1 &gt; 1 &gt; 1</t>
    </r>
  </si>
  <si>
    <r>
      <rPr>
        <sz val="10"/>
        <color theme="1"/>
        <rFont val="Arial"/>
      </rPr>
      <t xml:space="preserve">Conditional Finality
Mindbender's Ambition
</t>
    </r>
    <r>
      <rPr>
        <i/>
        <sz val="10"/>
        <color theme="1"/>
        <rFont val="Arial"/>
      </rPr>
      <t>Vorpal Weapon</t>
    </r>
  </si>
  <si>
    <r>
      <rPr>
        <sz val="10"/>
        <color theme="1"/>
        <rFont val="Arial"/>
      </rPr>
      <t xml:space="preserve">Apex Predator
</t>
    </r>
    <r>
      <rPr>
        <i/>
        <sz val="10"/>
        <color theme="1"/>
        <rFont val="Arial"/>
      </rPr>
      <t>1 &gt; 1</t>
    </r>
  </si>
  <si>
    <r>
      <rPr>
        <sz val="10"/>
        <color theme="1"/>
        <rFont val="Arial"/>
      </rPr>
      <t xml:space="preserve">Blade Barrage
</t>
    </r>
    <r>
      <rPr>
        <i/>
        <sz val="10"/>
        <color theme="1"/>
        <rFont val="Arial"/>
      </rPr>
      <t>Feast of Light x4</t>
    </r>
  </si>
  <si>
    <r>
      <rPr>
        <sz val="10"/>
        <color theme="1"/>
        <rFont val="Arial"/>
      </rPr>
      <t xml:space="preserve">Deathbringer
</t>
    </r>
    <r>
      <rPr>
        <i/>
        <sz val="10"/>
        <color theme="1"/>
        <rFont val="Arial"/>
      </rPr>
      <t>max height</t>
    </r>
  </si>
  <si>
    <r>
      <rPr>
        <sz val="10"/>
        <color theme="1"/>
        <rFont val="Arial"/>
      </rPr>
      <t xml:space="preserve">Blade Barrage
</t>
    </r>
    <r>
      <rPr>
        <i/>
        <sz val="10"/>
        <color theme="1"/>
        <rFont val="Arial"/>
      </rPr>
      <t>Feast of Light x4</t>
    </r>
  </si>
  <si>
    <r>
      <rPr>
        <sz val="10"/>
        <color theme="1"/>
        <rFont val="Arial"/>
      </rPr>
      <t xml:space="preserve">Riiswalker
</t>
    </r>
    <r>
      <rPr>
        <i/>
        <sz val="10"/>
        <color theme="1"/>
        <rFont val="Arial"/>
      </rPr>
      <t>Vorpal Weapon</t>
    </r>
    <r>
      <rPr>
        <sz val="10"/>
        <color theme="1"/>
        <rFont val="Arial"/>
      </rPr>
      <t xml:space="preserve">
Without Remorse
</t>
    </r>
    <r>
      <rPr>
        <i/>
        <sz val="10"/>
        <color theme="1"/>
        <rFont val="Arial"/>
      </rPr>
      <t xml:space="preserve">Vorpal Weapon
</t>
    </r>
    <r>
      <rPr>
        <sz val="10"/>
        <color theme="1"/>
        <rFont val="Arial"/>
      </rPr>
      <t>Tractor Cannon</t>
    </r>
  </si>
  <si>
    <r>
      <rPr>
        <sz val="10"/>
        <color theme="1"/>
        <rFont val="Arial"/>
      </rPr>
      <t xml:space="preserve">Tractor Cannon
Without Remorse
</t>
    </r>
    <r>
      <rPr>
        <i/>
        <sz val="10"/>
        <color theme="1"/>
        <rFont val="Arial"/>
      </rPr>
      <t>Vorpal Weapon</t>
    </r>
    <r>
      <rPr>
        <sz val="10"/>
        <color theme="1"/>
        <rFont val="Arial"/>
      </rPr>
      <t xml:space="preserve">
Riiswalker
</t>
    </r>
    <r>
      <rPr>
        <i/>
        <sz val="10"/>
        <color theme="1"/>
        <rFont val="Arial"/>
      </rPr>
      <t>Vorpal Weapon</t>
    </r>
  </si>
  <si>
    <r>
      <rPr>
        <sz val="10"/>
        <color theme="1"/>
        <rFont val="Arial"/>
      </rPr>
      <t xml:space="preserve">Fortissimo-11
</t>
    </r>
    <r>
      <rPr>
        <i/>
        <sz val="10"/>
        <color theme="1"/>
        <rFont val="Arial"/>
      </rPr>
      <t xml:space="preserve">Frenzy
</t>
    </r>
    <r>
      <rPr>
        <sz val="10"/>
        <color theme="1"/>
        <rFont val="Arial"/>
      </rPr>
      <t xml:space="preserve">Sojourner's Tale
</t>
    </r>
    <r>
      <rPr>
        <i/>
        <sz val="10"/>
        <color theme="1"/>
        <rFont val="Arial"/>
      </rPr>
      <t xml:space="preserve">Frenzy
</t>
    </r>
    <r>
      <rPr>
        <sz val="10"/>
        <color theme="1"/>
        <rFont val="Arial"/>
      </rPr>
      <t>Gjallarhorn</t>
    </r>
  </si>
  <si>
    <r>
      <rPr>
        <sz val="10"/>
        <color theme="1"/>
        <rFont val="Arial"/>
      </rPr>
      <t xml:space="preserve">Blade Barrage
</t>
    </r>
    <r>
      <rPr>
        <i/>
        <sz val="10"/>
        <color theme="1"/>
        <rFont val="Arial"/>
      </rPr>
      <t>Feast of Light x4</t>
    </r>
  </si>
  <si>
    <r>
      <rPr>
        <sz val="10"/>
        <color theme="1"/>
        <rFont val="Arial"/>
      </rPr>
      <t xml:space="preserve">Heritage
</t>
    </r>
    <r>
      <rPr>
        <i/>
        <sz val="10"/>
        <color theme="1"/>
        <rFont val="Arial"/>
      </rPr>
      <t xml:space="preserve">Recombination
</t>
    </r>
    <r>
      <rPr>
        <sz val="10"/>
        <color theme="1"/>
        <rFont val="Arial"/>
      </rPr>
      <t xml:space="preserve">Nessa's Oblation
</t>
    </r>
    <r>
      <rPr>
        <i/>
        <sz val="10"/>
        <color theme="1"/>
        <rFont val="Arial"/>
      </rPr>
      <t xml:space="preserve">Vorpal Weapon
</t>
    </r>
    <r>
      <rPr>
        <sz val="10"/>
        <color theme="1"/>
        <rFont val="Arial"/>
      </rPr>
      <t>Tractor Cannon</t>
    </r>
  </si>
  <si>
    <r>
      <rPr>
        <sz val="10"/>
        <color theme="1"/>
        <rFont val="Arial"/>
      </rPr>
      <t xml:space="preserve">Tractor Cannon
Fortissimo-11
</t>
    </r>
    <r>
      <rPr>
        <i/>
        <sz val="10"/>
        <color theme="1"/>
        <rFont val="Arial"/>
      </rPr>
      <t xml:space="preserve">Frenzy
</t>
    </r>
    <r>
      <rPr>
        <sz val="10"/>
        <color theme="1"/>
        <rFont val="Arial"/>
      </rPr>
      <t xml:space="preserve">Nessa's Oblation
</t>
    </r>
    <r>
      <rPr>
        <i/>
        <sz val="10"/>
        <color theme="1"/>
        <rFont val="Arial"/>
      </rPr>
      <t>Vorpal Weapon</t>
    </r>
  </si>
  <si>
    <r>
      <rPr>
        <sz val="10"/>
        <color theme="1"/>
        <rFont val="Arial"/>
      </rPr>
      <t xml:space="preserve">Tractor Cannon
Fortissimo-11
</t>
    </r>
    <r>
      <rPr>
        <i/>
        <sz val="10"/>
        <color theme="1"/>
        <rFont val="Arial"/>
      </rPr>
      <t xml:space="preserve">Frenzy
</t>
    </r>
    <r>
      <rPr>
        <sz val="10"/>
        <color theme="1"/>
        <rFont val="Arial"/>
      </rPr>
      <t xml:space="preserve">Nessa's Oblation
</t>
    </r>
    <r>
      <rPr>
        <i/>
        <sz val="10"/>
        <color theme="1"/>
        <rFont val="Arial"/>
      </rPr>
      <t>Vorpal Weapon</t>
    </r>
  </si>
  <si>
    <r>
      <rPr>
        <sz val="10"/>
        <color theme="1"/>
        <rFont val="Arial"/>
      </rPr>
      <t xml:space="preserve">Fortissimo-11
</t>
    </r>
    <r>
      <rPr>
        <i/>
        <sz val="10"/>
        <color theme="1"/>
        <rFont val="Arial"/>
      </rPr>
      <t>Frenzy</t>
    </r>
  </si>
  <si>
    <r>
      <rPr>
        <sz val="10"/>
        <color theme="1"/>
        <rFont val="Arial"/>
      </rPr>
      <t xml:space="preserve">The Supremacy
</t>
    </r>
    <r>
      <rPr>
        <i/>
        <sz val="10"/>
        <color theme="1"/>
        <rFont val="Arial"/>
      </rPr>
      <t>Kinetic Tremors</t>
    </r>
  </si>
  <si>
    <r>
      <rPr>
        <sz val="10"/>
        <color theme="1"/>
        <rFont val="Arial"/>
      </rPr>
      <t xml:space="preserve">IKELOS_SR_V1.0.3
</t>
    </r>
    <r>
      <rPr>
        <i/>
        <sz val="10"/>
        <color theme="1"/>
        <rFont val="Arial"/>
      </rPr>
      <t>Focused Fury</t>
    </r>
  </si>
  <si>
    <r>
      <rPr>
        <sz val="10"/>
        <color theme="1"/>
        <rFont val="Arial"/>
      </rPr>
      <t xml:space="preserve">Blade Barrage
</t>
    </r>
    <r>
      <rPr>
        <i/>
        <sz val="10"/>
        <color theme="1"/>
        <rFont val="Arial"/>
      </rPr>
      <t>Feast of Light x4</t>
    </r>
  </si>
  <si>
    <r>
      <rPr>
        <sz val="10"/>
        <color theme="1"/>
        <rFont val="Arial"/>
      </rPr>
      <t xml:space="preserve">Parasite
</t>
    </r>
    <r>
      <rPr>
        <i/>
        <sz val="10"/>
        <color theme="1"/>
        <rFont val="Arial"/>
      </rPr>
      <t>Worm's Hunger x20</t>
    </r>
  </si>
  <si>
    <r>
      <rPr>
        <sz val="10"/>
        <color theme="1"/>
        <rFont val="Arial"/>
      </rPr>
      <t xml:space="preserve">Sojourner's Tale
</t>
    </r>
    <r>
      <rPr>
        <i/>
        <sz val="10"/>
        <color theme="1"/>
        <rFont val="Arial"/>
      </rPr>
      <t xml:space="preserve">Surrounded
</t>
    </r>
    <r>
      <rPr>
        <sz val="10"/>
        <color theme="1"/>
        <rFont val="Arial"/>
      </rPr>
      <t xml:space="preserve">Fortissimo-11
</t>
    </r>
    <r>
      <rPr>
        <i/>
        <sz val="10"/>
        <color theme="1"/>
        <rFont val="Arial"/>
      </rPr>
      <t>Surrounded</t>
    </r>
  </si>
  <si>
    <r>
      <rPr>
        <sz val="10"/>
        <color theme="1"/>
        <rFont val="Arial"/>
      </rPr>
      <t xml:space="preserve">Sojourner's Tale
</t>
    </r>
    <r>
      <rPr>
        <i/>
        <sz val="10"/>
        <color theme="1"/>
        <rFont val="Arial"/>
      </rPr>
      <t xml:space="preserve">Surrounded
</t>
    </r>
    <r>
      <rPr>
        <sz val="10"/>
        <color theme="1"/>
        <rFont val="Arial"/>
      </rPr>
      <t xml:space="preserve">Fortissimo-11
</t>
    </r>
    <r>
      <rPr>
        <i/>
        <sz val="10"/>
        <color theme="1"/>
        <rFont val="Arial"/>
      </rPr>
      <t>Surrounded</t>
    </r>
  </si>
  <si>
    <r>
      <rPr>
        <sz val="10"/>
        <color theme="1"/>
        <rFont val="Arial"/>
      </rPr>
      <t xml:space="preserve">Sojourner's Tale
</t>
    </r>
    <r>
      <rPr>
        <i/>
        <sz val="10"/>
        <color theme="1"/>
        <rFont val="Arial"/>
      </rPr>
      <t xml:space="preserve">Surrounded
</t>
    </r>
    <r>
      <rPr>
        <sz val="10"/>
        <color theme="1"/>
        <rFont val="Arial"/>
      </rPr>
      <t xml:space="preserve">Fortissimo-11
</t>
    </r>
    <r>
      <rPr>
        <i/>
        <sz val="10"/>
        <color theme="1"/>
        <rFont val="Arial"/>
      </rPr>
      <t>Surrounded</t>
    </r>
  </si>
  <si>
    <r>
      <rPr>
        <sz val="10"/>
        <color theme="1"/>
        <rFont val="Arial"/>
      </rPr>
      <t xml:space="preserve">Heritage
</t>
    </r>
    <r>
      <rPr>
        <i/>
        <sz val="10"/>
        <color theme="1"/>
        <rFont val="Arial"/>
      </rPr>
      <t xml:space="preserve">Recombination
</t>
    </r>
    <r>
      <rPr>
        <sz val="10"/>
        <color theme="1"/>
        <rFont val="Arial"/>
      </rPr>
      <t xml:space="preserve">Duality
</t>
    </r>
    <r>
      <rPr>
        <i/>
        <sz val="10"/>
        <color theme="1"/>
        <rFont val="Arial"/>
      </rPr>
      <t>slug mode</t>
    </r>
  </si>
  <si>
    <r>
      <rPr>
        <sz val="10"/>
        <color theme="1"/>
        <rFont val="Arial"/>
      </rPr>
      <t xml:space="preserve">Apex Predator
</t>
    </r>
    <r>
      <rPr>
        <i/>
        <sz val="10"/>
        <color theme="1"/>
        <rFont val="Arial"/>
      </rPr>
      <t>2 &gt; 1</t>
    </r>
  </si>
  <si>
    <r>
      <rPr>
        <sz val="10"/>
        <color theme="1"/>
        <rFont val="Arial"/>
      </rPr>
      <t xml:space="preserve">Needlestorm
</t>
    </r>
    <r>
      <rPr>
        <i/>
        <sz val="10"/>
        <color theme="1"/>
        <rFont val="Arial"/>
      </rPr>
      <t>Thread of Evolution</t>
    </r>
  </si>
  <si>
    <r>
      <rPr>
        <sz val="10"/>
        <color theme="1"/>
        <rFont val="Arial"/>
      </rPr>
      <t xml:space="preserve">Apex Predator
</t>
    </r>
    <r>
      <rPr>
        <i/>
        <sz val="10"/>
        <color theme="1"/>
        <rFont val="Arial"/>
      </rPr>
      <t>2</t>
    </r>
  </si>
  <si>
    <r>
      <rPr>
        <sz val="10"/>
        <color theme="1"/>
        <rFont val="Arial"/>
      </rPr>
      <t xml:space="preserve">Heritage
</t>
    </r>
    <r>
      <rPr>
        <i/>
        <sz val="10"/>
        <color theme="1"/>
        <rFont val="Arial"/>
      </rPr>
      <t xml:space="preserve">Recombination
</t>
    </r>
    <r>
      <rPr>
        <sz val="10"/>
        <color theme="1"/>
        <rFont val="Arial"/>
      </rPr>
      <t xml:space="preserve">Duality
</t>
    </r>
    <r>
      <rPr>
        <i/>
        <sz val="10"/>
        <color theme="1"/>
        <rFont val="Arial"/>
      </rPr>
      <t>slug mode</t>
    </r>
  </si>
  <si>
    <r>
      <rPr>
        <sz val="10"/>
        <color theme="1"/>
        <rFont val="Arial"/>
      </rPr>
      <t xml:space="preserve">Apex Predator
</t>
    </r>
    <r>
      <rPr>
        <i/>
        <sz val="10"/>
        <color theme="1"/>
        <rFont val="Arial"/>
      </rPr>
      <t>1 &gt; 1</t>
    </r>
  </si>
  <si>
    <r>
      <rPr>
        <sz val="10"/>
        <color theme="1"/>
        <rFont val="Arial"/>
      </rPr>
      <t xml:space="preserve">Heritage
</t>
    </r>
    <r>
      <rPr>
        <i/>
        <sz val="10"/>
        <color theme="1"/>
        <rFont val="Arial"/>
      </rPr>
      <t xml:space="preserve">Recombination
</t>
    </r>
    <r>
      <rPr>
        <sz val="10"/>
        <color theme="1"/>
        <rFont val="Arial"/>
      </rPr>
      <t xml:space="preserve">Duality
</t>
    </r>
    <r>
      <rPr>
        <i/>
        <sz val="10"/>
        <color theme="1"/>
        <rFont val="Arial"/>
      </rPr>
      <t>slug mode</t>
    </r>
  </si>
  <si>
    <r>
      <rPr>
        <sz val="10"/>
        <color theme="1"/>
        <rFont val="Arial"/>
      </rPr>
      <t xml:space="preserve">Apex Predator
</t>
    </r>
    <r>
      <rPr>
        <i/>
        <sz val="10"/>
        <color theme="1"/>
        <rFont val="Arial"/>
      </rPr>
      <t>1 &gt; 1</t>
    </r>
  </si>
  <si>
    <r>
      <rPr>
        <sz val="10"/>
        <color theme="1"/>
        <rFont val="Arial"/>
      </rPr>
      <t xml:space="preserve">Blade Barrage
</t>
    </r>
    <r>
      <rPr>
        <i/>
        <sz val="10"/>
        <color theme="1"/>
        <rFont val="Arial"/>
      </rPr>
      <t>Feast of Light x4</t>
    </r>
  </si>
  <si>
    <r>
      <rPr>
        <sz val="10"/>
        <color theme="1"/>
        <rFont val="Arial"/>
      </rPr>
      <t xml:space="preserve">Blade Barrage
</t>
    </r>
    <r>
      <rPr>
        <i/>
        <sz val="10"/>
        <color theme="1"/>
        <rFont val="Arial"/>
      </rPr>
      <t>Feast of Light x4</t>
    </r>
  </si>
  <si>
    <r>
      <rPr>
        <sz val="10"/>
        <color theme="1"/>
        <rFont val="Arial"/>
      </rPr>
      <t xml:space="preserve">The Supremacy
</t>
    </r>
    <r>
      <rPr>
        <i/>
        <sz val="10"/>
        <color theme="1"/>
        <rFont val="Arial"/>
      </rPr>
      <t>Kinetic Tremors</t>
    </r>
  </si>
  <si>
    <r>
      <rPr>
        <sz val="10"/>
        <color theme="1"/>
        <rFont val="Arial"/>
      </rPr>
      <t xml:space="preserve">Wendigo GL3
</t>
    </r>
    <r>
      <rPr>
        <i/>
        <sz val="10"/>
        <color theme="1"/>
        <rFont val="Arial"/>
      </rPr>
      <t>Cascade Point</t>
    </r>
  </si>
  <si>
    <r>
      <rPr>
        <sz val="10"/>
        <color theme="1"/>
        <rFont val="Arial"/>
      </rPr>
      <t xml:space="preserve">The Supremacy
</t>
    </r>
    <r>
      <rPr>
        <i/>
        <sz val="10"/>
        <color theme="1"/>
        <rFont val="Arial"/>
      </rPr>
      <t>Kinetic Tremors</t>
    </r>
  </si>
  <si>
    <r>
      <rPr>
        <sz val="10"/>
        <color theme="1"/>
        <rFont val="Arial"/>
      </rPr>
      <t xml:space="preserve">Wendigo GL3
</t>
    </r>
    <r>
      <rPr>
        <i/>
        <sz val="10"/>
        <color theme="1"/>
        <rFont val="Arial"/>
      </rPr>
      <t>Cascade Point</t>
    </r>
  </si>
  <si>
    <r>
      <rPr>
        <sz val="10"/>
        <color theme="1"/>
        <rFont val="Arial"/>
      </rPr>
      <t xml:space="preserve">Blade Barrage
</t>
    </r>
    <r>
      <rPr>
        <i/>
        <sz val="10"/>
        <color theme="1"/>
        <rFont val="Arial"/>
      </rPr>
      <t>Feast of Light x4</t>
    </r>
  </si>
  <si>
    <r>
      <rPr>
        <sz val="10"/>
        <color theme="1"/>
        <rFont val="Arial"/>
      </rPr>
      <t xml:space="preserve">Until Its Return
</t>
    </r>
    <r>
      <rPr>
        <i/>
        <sz val="10"/>
        <color theme="1"/>
        <rFont val="Arial"/>
      </rPr>
      <t>Cascade Point</t>
    </r>
  </si>
  <si>
    <r>
      <rPr>
        <sz val="10"/>
        <color theme="1"/>
        <rFont val="Arial"/>
      </rPr>
      <t xml:space="preserve">Cataphract GL3
</t>
    </r>
    <r>
      <rPr>
        <i/>
        <sz val="10"/>
        <color theme="1"/>
        <rFont val="Arial"/>
      </rPr>
      <t>Envious Assasin x15, Bait and Switch</t>
    </r>
  </si>
  <si>
    <r>
      <rPr>
        <sz val="10"/>
        <color theme="1"/>
        <rFont val="Arial"/>
      </rPr>
      <t xml:space="preserve">Until Its Return
</t>
    </r>
    <r>
      <rPr>
        <i/>
        <sz val="10"/>
        <color theme="1"/>
        <rFont val="Arial"/>
      </rPr>
      <t>Cascade Point</t>
    </r>
  </si>
  <si>
    <r>
      <rPr>
        <sz val="10"/>
        <color theme="1"/>
        <rFont val="Arial"/>
      </rPr>
      <t xml:space="preserve">Cataphract GL3
</t>
    </r>
    <r>
      <rPr>
        <i/>
        <sz val="10"/>
        <color theme="1"/>
        <rFont val="Arial"/>
      </rPr>
      <t>Bait and Switch</t>
    </r>
  </si>
  <si>
    <r>
      <rPr>
        <sz val="10"/>
        <color theme="1"/>
        <rFont val="Arial"/>
      </rPr>
      <t xml:space="preserve">Blade Barrage
</t>
    </r>
    <r>
      <rPr>
        <i/>
        <sz val="10"/>
        <color theme="1"/>
        <rFont val="Arial"/>
      </rPr>
      <t>Feast of Light x4</t>
    </r>
  </si>
  <si>
    <r>
      <rPr>
        <sz val="10"/>
        <color theme="1"/>
        <rFont val="Arial"/>
      </rPr>
      <t xml:space="preserve">Blade Barrage
</t>
    </r>
    <r>
      <rPr>
        <i/>
        <sz val="10"/>
        <color theme="1"/>
        <rFont val="Arial"/>
      </rPr>
      <t>Feast of Light x4</t>
    </r>
  </si>
  <si>
    <r>
      <rPr>
        <sz val="10"/>
        <color theme="1"/>
        <rFont val="Arial"/>
      </rPr>
      <t xml:space="preserve">Blade Barrage
</t>
    </r>
    <r>
      <rPr>
        <i/>
        <sz val="10"/>
        <color theme="1"/>
        <rFont val="Arial"/>
      </rPr>
      <t>Feast of Light x4</t>
    </r>
  </si>
  <si>
    <r>
      <rPr>
        <sz val="10"/>
        <color theme="1"/>
        <rFont val="Arial"/>
      </rPr>
      <t xml:space="preserve">Grand Overture
</t>
    </r>
    <r>
      <rPr>
        <i/>
        <sz val="10"/>
        <color theme="1"/>
        <rFont val="Arial"/>
      </rPr>
      <t>Missiles Loaded x20</t>
    </r>
  </si>
  <si>
    <r>
      <rPr>
        <sz val="10"/>
        <color theme="1"/>
        <rFont val="Arial"/>
      </rPr>
      <t xml:space="preserve">Blade Barrage
</t>
    </r>
    <r>
      <rPr>
        <i/>
        <sz val="10"/>
        <color theme="1"/>
        <rFont val="Arial"/>
      </rPr>
      <t>Feast of Light x4</t>
    </r>
  </si>
  <si>
    <r>
      <rPr>
        <sz val="10"/>
        <color theme="1"/>
        <rFont val="Arial"/>
      </rPr>
      <t xml:space="preserve">Izanagi's Burden
</t>
    </r>
    <r>
      <rPr>
        <i/>
        <sz val="10"/>
        <color theme="1"/>
        <rFont val="Arial"/>
      </rPr>
      <t>Honed Edge x4</t>
    </r>
  </si>
  <si>
    <r>
      <rPr>
        <sz val="10"/>
        <color theme="1"/>
        <rFont val="Arial"/>
      </rPr>
      <t xml:space="preserve">Wilderflight
</t>
    </r>
    <r>
      <rPr>
        <i/>
        <sz val="10"/>
        <color theme="1"/>
        <rFont val="Arial"/>
      </rPr>
      <t>Frenzy</t>
    </r>
  </si>
  <si>
    <r>
      <rPr>
        <sz val="10"/>
        <color theme="1"/>
        <rFont val="Arial"/>
      </rPr>
      <t xml:space="preserve">Apex Predator
</t>
    </r>
    <r>
      <rPr>
        <i/>
        <sz val="10"/>
        <color theme="1"/>
        <rFont val="Arial"/>
      </rPr>
      <t>2 &gt; 1</t>
    </r>
  </si>
  <si>
    <r>
      <rPr>
        <sz val="10"/>
        <color theme="1"/>
        <rFont val="Arial"/>
      </rPr>
      <t xml:space="preserve">Needlestorm
</t>
    </r>
    <r>
      <rPr>
        <i/>
        <sz val="10"/>
        <color theme="1"/>
        <rFont val="Arial"/>
      </rPr>
      <t>Thread of Evolution</t>
    </r>
  </si>
  <si>
    <r>
      <rPr>
        <sz val="10"/>
        <color theme="1"/>
        <rFont val="Arial"/>
      </rPr>
      <t xml:space="preserve">Apex Predator
</t>
    </r>
    <r>
      <rPr>
        <i/>
        <sz val="10"/>
        <color theme="1"/>
        <rFont val="Arial"/>
      </rPr>
      <t>2</t>
    </r>
  </si>
  <si>
    <r>
      <rPr>
        <sz val="10"/>
        <color theme="1"/>
        <rFont val="Arial"/>
      </rPr>
      <t xml:space="preserve">Izanagi's Burden
</t>
    </r>
    <r>
      <rPr>
        <i/>
        <sz val="10"/>
        <color theme="1"/>
        <rFont val="Arial"/>
      </rPr>
      <t>Honed Edge x4</t>
    </r>
  </si>
  <si>
    <r>
      <rPr>
        <sz val="10"/>
        <color theme="1"/>
        <rFont val="Arial"/>
      </rPr>
      <t xml:space="preserve">Wilderflight
</t>
    </r>
    <r>
      <rPr>
        <i/>
        <sz val="10"/>
        <color theme="1"/>
        <rFont val="Arial"/>
      </rPr>
      <t>Frenzy</t>
    </r>
  </si>
  <si>
    <r>
      <rPr>
        <sz val="10"/>
        <color theme="1"/>
        <rFont val="Arial"/>
      </rPr>
      <t xml:space="preserve">Apex Predator
</t>
    </r>
    <r>
      <rPr>
        <i/>
        <sz val="10"/>
        <color theme="1"/>
        <rFont val="Arial"/>
      </rPr>
      <t>1 &gt; 1</t>
    </r>
  </si>
  <si>
    <r>
      <rPr>
        <sz val="10"/>
        <color theme="1"/>
        <rFont val="Arial"/>
      </rPr>
      <t xml:space="preserve">Izanagi's Burden
</t>
    </r>
    <r>
      <rPr>
        <i/>
        <sz val="10"/>
        <color theme="1"/>
        <rFont val="Arial"/>
      </rPr>
      <t>Honed Edge x4</t>
    </r>
  </si>
  <si>
    <r>
      <rPr>
        <sz val="10"/>
        <color theme="1"/>
        <rFont val="Arial"/>
      </rPr>
      <t xml:space="preserve">Wilderflight
</t>
    </r>
    <r>
      <rPr>
        <i/>
        <sz val="10"/>
        <color theme="1"/>
        <rFont val="Arial"/>
      </rPr>
      <t>Frenzy</t>
    </r>
  </si>
  <si>
    <r>
      <rPr>
        <sz val="10"/>
        <color theme="1"/>
        <rFont val="Arial"/>
      </rPr>
      <t xml:space="preserve">Apex Predator
</t>
    </r>
    <r>
      <rPr>
        <i/>
        <sz val="10"/>
        <color theme="1"/>
        <rFont val="Arial"/>
      </rPr>
      <t>1 &gt; 1</t>
    </r>
  </si>
  <si>
    <r>
      <rPr>
        <sz val="10"/>
        <color theme="1"/>
        <rFont val="Arial"/>
      </rPr>
      <t xml:space="preserve">Izanagi's Burden
</t>
    </r>
    <r>
      <rPr>
        <i/>
        <sz val="10"/>
        <color theme="1"/>
        <rFont val="Arial"/>
      </rPr>
      <t>Honed Edge x4</t>
    </r>
  </si>
  <si>
    <r>
      <rPr>
        <sz val="10"/>
        <color theme="1"/>
        <rFont val="Arial"/>
      </rPr>
      <t xml:space="preserve">Izanagi's Burden
</t>
    </r>
    <r>
      <rPr>
        <i/>
        <sz val="10"/>
        <color theme="1"/>
        <rFont val="Arial"/>
      </rPr>
      <t>Honed Edge x4</t>
    </r>
  </si>
  <si>
    <r>
      <rPr>
        <sz val="10"/>
        <color theme="1"/>
        <rFont val="Arial"/>
      </rPr>
      <t xml:space="preserve">Wilderflight
</t>
    </r>
    <r>
      <rPr>
        <i/>
        <sz val="10"/>
        <color theme="1"/>
        <rFont val="Arial"/>
      </rPr>
      <t>Frenzy</t>
    </r>
  </si>
  <si>
    <r>
      <rPr>
        <sz val="10"/>
        <color theme="1"/>
        <rFont val="Arial"/>
      </rPr>
      <t xml:space="preserve">Apex Predator
</t>
    </r>
    <r>
      <rPr>
        <i/>
        <sz val="10"/>
        <color theme="1"/>
        <rFont val="Arial"/>
      </rPr>
      <t>2 &gt; 1</t>
    </r>
  </si>
  <si>
    <r>
      <rPr>
        <sz val="10"/>
        <color theme="1"/>
        <rFont val="Arial"/>
      </rPr>
      <t xml:space="preserve">Needlestorm
</t>
    </r>
    <r>
      <rPr>
        <i/>
        <sz val="10"/>
        <color theme="1"/>
        <rFont val="Arial"/>
      </rPr>
      <t>Thread of Evolution</t>
    </r>
  </si>
  <si>
    <r>
      <rPr>
        <sz val="10"/>
        <color theme="1"/>
        <rFont val="Arial"/>
      </rPr>
      <t xml:space="preserve">Apex Predator
</t>
    </r>
    <r>
      <rPr>
        <i/>
        <sz val="10"/>
        <color theme="1"/>
        <rFont val="Arial"/>
      </rPr>
      <t>2</t>
    </r>
  </si>
  <si>
    <r>
      <rPr>
        <sz val="10"/>
        <color theme="1"/>
        <rFont val="Arial"/>
      </rPr>
      <t xml:space="preserve">Izanagi's Burden
</t>
    </r>
    <r>
      <rPr>
        <i/>
        <sz val="10"/>
        <color theme="1"/>
        <rFont val="Arial"/>
      </rPr>
      <t>Honed Edge x4</t>
    </r>
  </si>
  <si>
    <r>
      <rPr>
        <sz val="10"/>
        <color theme="1"/>
        <rFont val="Arial"/>
      </rPr>
      <t xml:space="preserve">Wilderflight
</t>
    </r>
    <r>
      <rPr>
        <i/>
        <sz val="10"/>
        <color theme="1"/>
        <rFont val="Arial"/>
      </rPr>
      <t>Frenzy</t>
    </r>
  </si>
  <si>
    <r>
      <rPr>
        <sz val="10"/>
        <color theme="1"/>
        <rFont val="Arial"/>
      </rPr>
      <t xml:space="preserve">Apex Predator
</t>
    </r>
    <r>
      <rPr>
        <i/>
        <sz val="10"/>
        <color theme="1"/>
        <rFont val="Arial"/>
      </rPr>
      <t>1 &gt; 1</t>
    </r>
  </si>
  <si>
    <r>
      <rPr>
        <sz val="10"/>
        <color theme="1"/>
        <rFont val="Arial"/>
      </rPr>
      <t xml:space="preserve">Izanagi's Burden
</t>
    </r>
    <r>
      <rPr>
        <i/>
        <sz val="10"/>
        <color theme="1"/>
        <rFont val="Arial"/>
      </rPr>
      <t>Honed Edge x4</t>
    </r>
  </si>
  <si>
    <r>
      <rPr>
        <sz val="10"/>
        <color theme="1"/>
        <rFont val="Arial"/>
      </rPr>
      <t xml:space="preserve">Wilderflight
</t>
    </r>
    <r>
      <rPr>
        <i/>
        <sz val="10"/>
        <color theme="1"/>
        <rFont val="Arial"/>
      </rPr>
      <t>Frenzy</t>
    </r>
  </si>
  <si>
    <r>
      <rPr>
        <sz val="10"/>
        <color theme="1"/>
        <rFont val="Arial"/>
      </rPr>
      <t xml:space="preserve">Apex Predator
</t>
    </r>
    <r>
      <rPr>
        <i/>
        <sz val="10"/>
        <color theme="1"/>
        <rFont val="Arial"/>
      </rPr>
      <t>1 &gt; 1</t>
    </r>
  </si>
  <si>
    <r>
      <rPr>
        <sz val="10"/>
        <color theme="1"/>
        <rFont val="Arial"/>
      </rPr>
      <t xml:space="preserve">Izanagi's Burden
</t>
    </r>
    <r>
      <rPr>
        <i/>
        <sz val="10"/>
        <color theme="1"/>
        <rFont val="Arial"/>
      </rPr>
      <t>Honed Edge x4</t>
    </r>
  </si>
  <si>
    <r>
      <rPr>
        <sz val="10"/>
        <color theme="1"/>
        <rFont val="Arial"/>
      </rPr>
      <t xml:space="preserve">Blade Barrage
</t>
    </r>
    <r>
      <rPr>
        <i/>
        <sz val="10"/>
        <color theme="1"/>
        <rFont val="Arial"/>
      </rPr>
      <t>Feast of Light x4</t>
    </r>
  </si>
  <si>
    <r>
      <rPr>
        <sz val="10"/>
        <color theme="1"/>
        <rFont val="Arial"/>
      </rPr>
      <t xml:space="preserve">Izanagi's Burden
</t>
    </r>
    <r>
      <rPr>
        <i/>
        <sz val="10"/>
        <color theme="1"/>
        <rFont val="Arial"/>
      </rPr>
      <t>Honed Edge x4</t>
    </r>
  </si>
  <si>
    <r>
      <rPr>
        <sz val="10"/>
        <color theme="1"/>
        <rFont val="Arial"/>
      </rPr>
      <t xml:space="preserve">Distant Tumulus
</t>
    </r>
    <r>
      <rPr>
        <i/>
        <sz val="10"/>
        <color theme="1"/>
        <rFont val="Arial"/>
      </rPr>
      <t>Firing Line</t>
    </r>
  </si>
  <si>
    <t>Apex Predator
2 &gt; 1 &gt; 1</t>
  </si>
  <si>
    <r>
      <rPr>
        <sz val="10"/>
        <color theme="1"/>
        <rFont val="Arial"/>
      </rPr>
      <t xml:space="preserve">Izanagi's Burden
</t>
    </r>
    <r>
      <rPr>
        <i/>
        <sz val="10"/>
        <color theme="1"/>
        <rFont val="Arial"/>
      </rPr>
      <t>Honed Edge x4</t>
    </r>
  </si>
  <si>
    <r>
      <rPr>
        <sz val="10"/>
        <color theme="1"/>
        <rFont val="Arial"/>
      </rPr>
      <t xml:space="preserve">Distant Tumulus
</t>
    </r>
    <r>
      <rPr>
        <i/>
        <sz val="10"/>
        <color theme="1"/>
        <rFont val="Arial"/>
      </rPr>
      <t>Firing Line</t>
    </r>
  </si>
  <si>
    <t>Apex Predator
1</t>
  </si>
  <si>
    <r>
      <rPr>
        <sz val="10"/>
        <color theme="1"/>
        <rFont val="Arial"/>
      </rPr>
      <t xml:space="preserve">Izanagi's Burden
</t>
    </r>
    <r>
      <rPr>
        <i/>
        <sz val="10"/>
        <color theme="1"/>
        <rFont val="Arial"/>
      </rPr>
      <t>Honed Edge x4</t>
    </r>
  </si>
  <si>
    <r>
      <rPr>
        <sz val="10"/>
        <color theme="1"/>
        <rFont val="Arial"/>
      </rPr>
      <t xml:space="preserve">Distant Tumulus
</t>
    </r>
    <r>
      <rPr>
        <i/>
        <sz val="10"/>
        <color theme="1"/>
        <rFont val="Arial"/>
      </rPr>
      <t>Firing Line</t>
    </r>
  </si>
  <si>
    <t>Apex Predator
1 &gt; 1 &gt; 1</t>
  </si>
  <si>
    <r>
      <rPr>
        <sz val="10"/>
        <color theme="1"/>
        <rFont val="Arial"/>
      </rPr>
      <t xml:space="preserve">Izanagi's Burden
</t>
    </r>
    <r>
      <rPr>
        <i/>
        <sz val="10"/>
        <color theme="1"/>
        <rFont val="Arial"/>
      </rPr>
      <t>Honed Edge x4</t>
    </r>
  </si>
  <si>
    <r>
      <rPr>
        <sz val="10"/>
        <color theme="1"/>
        <rFont val="Arial"/>
      </rPr>
      <t xml:space="preserve">Distant Tumulus
</t>
    </r>
    <r>
      <rPr>
        <i/>
        <sz val="10"/>
        <color theme="1"/>
        <rFont val="Arial"/>
      </rPr>
      <t>Firing Line</t>
    </r>
  </si>
  <si>
    <r>
      <rPr>
        <sz val="10"/>
        <color theme="1"/>
        <rFont val="Arial"/>
      </rPr>
      <t xml:space="preserve">Izanagi's Burden
</t>
    </r>
    <r>
      <rPr>
        <i/>
        <sz val="10"/>
        <color theme="1"/>
        <rFont val="Arial"/>
      </rPr>
      <t>Honed Edge x4</t>
    </r>
  </si>
  <si>
    <r>
      <rPr>
        <sz val="10"/>
        <color theme="1"/>
        <rFont val="Arial"/>
      </rPr>
      <t xml:space="preserve">Blade Barrage
</t>
    </r>
    <r>
      <rPr>
        <i/>
        <sz val="10"/>
        <color theme="1"/>
        <rFont val="Arial"/>
      </rPr>
      <t>Feast of Light x4</t>
    </r>
  </si>
  <si>
    <r>
      <rPr>
        <sz val="10"/>
        <color theme="1"/>
        <rFont val="Arial"/>
      </rPr>
      <t xml:space="preserve">Legend of Acrius
</t>
    </r>
    <r>
      <rPr>
        <i/>
        <sz val="10"/>
        <color theme="1"/>
        <rFont val="Arial"/>
      </rPr>
      <t>Trench Barrel</t>
    </r>
  </si>
  <si>
    <r>
      <rPr>
        <sz val="10"/>
        <color theme="1"/>
        <rFont val="Arial"/>
      </rPr>
      <t xml:space="preserve">Legend of Acrius
</t>
    </r>
    <r>
      <rPr>
        <i/>
        <sz val="10"/>
        <color theme="1"/>
        <rFont val="Arial"/>
      </rPr>
      <t>Trench Barrel</t>
    </r>
  </si>
  <si>
    <r>
      <rPr>
        <sz val="10"/>
        <color theme="1"/>
        <rFont val="Arial"/>
      </rPr>
      <t xml:space="preserve">Blade Barrage
</t>
    </r>
    <r>
      <rPr>
        <i/>
        <sz val="10"/>
        <color theme="1"/>
        <rFont val="Arial"/>
      </rPr>
      <t>Feast of Light x4</t>
    </r>
  </si>
  <si>
    <r>
      <rPr>
        <sz val="10"/>
        <color theme="1"/>
        <rFont val="Arial"/>
      </rPr>
      <t xml:space="preserve">Leviathan's Breath
</t>
    </r>
    <r>
      <rPr>
        <i/>
        <sz val="10"/>
        <color theme="1"/>
        <rFont val="Arial"/>
      </rPr>
      <t>Archer's Tempo</t>
    </r>
  </si>
  <si>
    <r>
      <rPr>
        <sz val="10"/>
        <color theme="1"/>
        <rFont val="Arial"/>
      </rPr>
      <t xml:space="preserve">Blade Barrage
</t>
    </r>
    <r>
      <rPr>
        <i/>
        <sz val="10"/>
        <color theme="1"/>
        <rFont val="Arial"/>
      </rPr>
      <t>Feast of Light x4</t>
    </r>
  </si>
  <si>
    <r>
      <rPr>
        <sz val="10"/>
        <color theme="1"/>
        <rFont val="Arial"/>
      </rPr>
      <t xml:space="preserve">Malfeasance
</t>
    </r>
    <r>
      <rPr>
        <i/>
        <sz val="10"/>
        <color theme="1"/>
        <rFont val="Arial"/>
      </rPr>
      <t>15 shot burst, blighted</t>
    </r>
  </si>
  <si>
    <t>Apex Predator
2 &gt; 1</t>
  </si>
  <si>
    <r>
      <rPr>
        <sz val="10"/>
        <color theme="1"/>
        <rFont val="Arial"/>
      </rPr>
      <t xml:space="preserve">IKELOS_SG_V1.0.3
</t>
    </r>
    <r>
      <rPr>
        <i/>
        <sz val="10"/>
        <color theme="1"/>
        <rFont val="Arial"/>
      </rPr>
      <t>Cascade Point</t>
    </r>
  </si>
  <si>
    <r>
      <rPr>
        <sz val="10"/>
        <color theme="1"/>
        <rFont val="Arial"/>
      </rPr>
      <t xml:space="preserve">Malfeasance
</t>
    </r>
    <r>
      <rPr>
        <i/>
        <sz val="10"/>
        <color theme="1"/>
        <rFont val="Arial"/>
      </rPr>
      <t>15 shot burst, blighted</t>
    </r>
  </si>
  <si>
    <r>
      <rPr>
        <sz val="10"/>
        <color theme="1"/>
        <rFont val="Arial"/>
      </rPr>
      <t xml:space="preserve">IKELOS_SG_V1.0.3
</t>
    </r>
    <r>
      <rPr>
        <i/>
        <sz val="10"/>
        <color theme="1"/>
        <rFont val="Arial"/>
      </rPr>
      <t>Cascade Point</t>
    </r>
  </si>
  <si>
    <r>
      <rPr>
        <sz val="10"/>
        <color theme="1"/>
        <rFont val="Arial"/>
      </rPr>
      <t xml:space="preserve">Malfeasance
</t>
    </r>
    <r>
      <rPr>
        <i/>
        <sz val="10"/>
        <color theme="1"/>
        <rFont val="Arial"/>
      </rPr>
      <t>15 shot burst, blighted</t>
    </r>
  </si>
  <si>
    <r>
      <rPr>
        <sz val="10"/>
        <color theme="1"/>
        <rFont val="Arial"/>
      </rPr>
      <t xml:space="preserve">Malfeasance
</t>
    </r>
    <r>
      <rPr>
        <i/>
        <sz val="10"/>
        <color theme="1"/>
        <rFont val="Arial"/>
      </rPr>
      <t>15 shot burst, blighted</t>
    </r>
  </si>
  <si>
    <r>
      <rPr>
        <sz val="10"/>
        <color theme="1"/>
        <rFont val="Arial"/>
      </rPr>
      <t xml:space="preserve">IKELOS_SG_V1.0.3
</t>
    </r>
    <r>
      <rPr>
        <i/>
        <sz val="10"/>
        <color theme="1"/>
        <rFont val="Arial"/>
      </rPr>
      <t>Cascade Point</t>
    </r>
  </si>
  <si>
    <r>
      <rPr>
        <sz val="10"/>
        <color theme="1"/>
        <rFont val="Arial"/>
      </rPr>
      <t xml:space="preserve">Malfeasance
</t>
    </r>
    <r>
      <rPr>
        <i/>
        <sz val="10"/>
        <color theme="1"/>
        <rFont val="Arial"/>
      </rPr>
      <t>2 shot burst, blighted</t>
    </r>
  </si>
  <si>
    <r>
      <rPr>
        <sz val="10"/>
        <color theme="1"/>
        <rFont val="Arial"/>
      </rPr>
      <t xml:space="preserve">IKELOS_SG_V1.0.3
</t>
    </r>
    <r>
      <rPr>
        <i/>
        <sz val="10"/>
        <color theme="1"/>
        <rFont val="Arial"/>
      </rPr>
      <t>Cascade Point</t>
    </r>
  </si>
  <si>
    <r>
      <rPr>
        <sz val="10"/>
        <color theme="1"/>
        <rFont val="Arial"/>
      </rPr>
      <t xml:space="preserve">Malfeasance
</t>
    </r>
    <r>
      <rPr>
        <i/>
        <sz val="10"/>
        <color theme="1"/>
        <rFont val="Arial"/>
      </rPr>
      <t>15 shot burst, blighted</t>
    </r>
  </si>
  <si>
    <r>
      <rPr>
        <sz val="10"/>
        <color theme="1"/>
        <rFont val="Arial"/>
      </rPr>
      <t xml:space="preserve">Blade Barrage
</t>
    </r>
    <r>
      <rPr>
        <i/>
        <sz val="10"/>
        <color theme="1"/>
        <rFont val="Arial"/>
      </rPr>
      <t>Feast of Light x4</t>
    </r>
  </si>
  <si>
    <r>
      <rPr>
        <sz val="10"/>
        <color theme="1"/>
        <rFont val="Arial"/>
      </rPr>
      <t xml:space="preserve">Merciless
</t>
    </r>
    <r>
      <rPr>
        <i/>
        <sz val="10"/>
        <color theme="1"/>
        <rFont val="Arial"/>
      </rPr>
      <t>Impetus</t>
    </r>
  </si>
  <si>
    <r>
      <rPr>
        <sz val="10"/>
        <color theme="1"/>
        <rFont val="Arial"/>
      </rPr>
      <t xml:space="preserve">Shadowshot - Moebius Quiver
</t>
    </r>
    <r>
      <rPr>
        <i/>
        <sz val="10"/>
        <color theme="1"/>
        <rFont val="Arial"/>
      </rPr>
      <t>Feast of Light x4</t>
    </r>
  </si>
  <si>
    <r>
      <rPr>
        <sz val="10"/>
        <color theme="1"/>
        <rFont val="Arial"/>
      </rPr>
      <t xml:space="preserve">Retrofit Escapade
</t>
    </r>
    <r>
      <rPr>
        <i/>
        <sz val="10"/>
        <color theme="1"/>
        <rFont val="Arial"/>
      </rPr>
      <t>e. FTTC + e. Target Lock</t>
    </r>
  </si>
  <si>
    <t>Shadowshot - Moebius Quiver</t>
  </si>
  <si>
    <r>
      <rPr>
        <sz val="10"/>
        <color theme="1"/>
        <rFont val="Arial"/>
      </rPr>
      <t xml:space="preserve">Retrofit Escapade
</t>
    </r>
    <r>
      <rPr>
        <i/>
        <sz val="10"/>
        <color theme="1"/>
        <rFont val="Arial"/>
      </rPr>
      <t>e. FTTC + e. Target Lock</t>
    </r>
  </si>
  <si>
    <r>
      <rPr>
        <sz val="10"/>
        <color theme="1"/>
        <rFont val="Arial"/>
      </rPr>
      <t xml:space="preserve">Retrofit Escapade
</t>
    </r>
    <r>
      <rPr>
        <i/>
        <sz val="10"/>
        <color theme="1"/>
        <rFont val="Arial"/>
      </rPr>
      <t>e. FTTC + e. Target Lock</t>
    </r>
  </si>
  <si>
    <r>
      <rPr>
        <sz val="10"/>
        <color theme="1"/>
        <rFont val="Arial"/>
      </rPr>
      <t xml:space="preserve">Blade Barrage
</t>
    </r>
    <r>
      <rPr>
        <i/>
        <sz val="10"/>
        <color theme="1"/>
        <rFont val="Arial"/>
      </rPr>
      <t>Feast of Light x4</t>
    </r>
  </si>
  <si>
    <r>
      <rPr>
        <sz val="10"/>
        <color theme="1"/>
        <rFont val="Arial"/>
      </rPr>
      <t xml:space="preserve">Blade Barrage
</t>
    </r>
    <r>
      <rPr>
        <i/>
        <sz val="10"/>
        <color theme="1"/>
        <rFont val="Arial"/>
      </rPr>
      <t>Feast of Light x4</t>
    </r>
  </si>
  <si>
    <r>
      <rPr>
        <sz val="10"/>
        <color theme="1"/>
        <rFont val="Arial"/>
      </rPr>
      <t xml:space="preserve">Izanagi's Burden
</t>
    </r>
    <r>
      <rPr>
        <i/>
        <sz val="10"/>
        <color theme="1"/>
        <rFont val="Arial"/>
      </rPr>
      <t>Honed Edge x4</t>
    </r>
  </si>
  <si>
    <r>
      <rPr>
        <sz val="10"/>
        <color theme="1"/>
        <rFont val="Arial"/>
      </rPr>
      <t xml:space="preserve">Taipan-4fr
</t>
    </r>
    <r>
      <rPr>
        <i/>
        <sz val="10"/>
        <color theme="1"/>
        <rFont val="Arial"/>
      </rPr>
      <t>e. Triple Tap, Firing Line</t>
    </r>
  </si>
  <si>
    <r>
      <rPr>
        <sz val="10"/>
        <color theme="1"/>
        <rFont val="Arial"/>
      </rPr>
      <t xml:space="preserve">Blade Barrage
</t>
    </r>
    <r>
      <rPr>
        <i/>
        <sz val="10"/>
        <color theme="1"/>
        <rFont val="Arial"/>
      </rPr>
      <t>Feast of Light x4</t>
    </r>
  </si>
  <si>
    <r>
      <rPr>
        <sz val="10"/>
        <color theme="1"/>
        <rFont val="Arial"/>
      </rPr>
      <t xml:space="preserve">Blade Barrage
</t>
    </r>
    <r>
      <rPr>
        <i/>
        <sz val="10"/>
        <color theme="1"/>
        <rFont val="Arial"/>
      </rPr>
      <t>Feast of Light x4</t>
    </r>
  </si>
  <si>
    <r>
      <rPr>
        <sz val="10"/>
        <color theme="1"/>
        <rFont val="Arial"/>
      </rPr>
      <t xml:space="preserve">Blade Barrage
</t>
    </r>
    <r>
      <rPr>
        <i/>
        <sz val="10"/>
        <color theme="1"/>
        <rFont val="Arial"/>
      </rPr>
      <t>Feast of Light x4</t>
    </r>
  </si>
  <si>
    <r>
      <rPr>
        <sz val="10"/>
        <color theme="1"/>
        <rFont val="Arial"/>
      </rPr>
      <t xml:space="preserve">Blade Barrage
</t>
    </r>
    <r>
      <rPr>
        <i/>
        <sz val="10"/>
        <color theme="1"/>
        <rFont val="Arial"/>
      </rPr>
      <t>Feast of Light x4</t>
    </r>
  </si>
  <si>
    <r>
      <rPr>
        <sz val="10"/>
        <color theme="1"/>
        <rFont val="Arial"/>
      </rPr>
      <t xml:space="preserve">Whisper of the Worm
</t>
    </r>
    <r>
      <rPr>
        <i/>
        <sz val="10"/>
        <color theme="1"/>
        <rFont val="Arial"/>
      </rPr>
      <t>Whispered Breathing</t>
    </r>
  </si>
  <si>
    <r>
      <rPr>
        <sz val="10"/>
        <color theme="1"/>
        <rFont val="Arial"/>
      </rPr>
      <t xml:space="preserve">Blade Barrage
</t>
    </r>
    <r>
      <rPr>
        <i/>
        <sz val="10"/>
        <color theme="1"/>
        <rFont val="Arial"/>
      </rPr>
      <t>Feast of Light x4</t>
    </r>
  </si>
  <si>
    <r>
      <rPr>
        <sz val="10"/>
        <color theme="1"/>
        <rFont val="Arial"/>
      </rPr>
      <t xml:space="preserve">Grand Overture
</t>
    </r>
    <r>
      <rPr>
        <i/>
        <sz val="10"/>
        <color theme="1"/>
        <rFont val="Arial"/>
      </rPr>
      <t>Missiles Loaded x20</t>
    </r>
  </si>
  <si>
    <r>
      <rPr>
        <sz val="10"/>
        <color theme="1"/>
        <rFont val="Arial"/>
      </rPr>
      <t xml:space="preserve">Solar grenade
</t>
    </r>
    <r>
      <rPr>
        <i/>
        <sz val="10"/>
        <color theme="1"/>
        <rFont val="Arial"/>
      </rPr>
      <t>Death Throes x5, Touch of Flame</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</si>
  <si>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</si>
  <si>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The Fourth Horseman
</t>
    </r>
    <r>
      <rPr>
        <i/>
        <sz val="10"/>
        <color theme="1"/>
        <rFont val="Arial"/>
      </rPr>
      <t>Rain of Fire, body</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</si>
  <si>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</si>
  <si>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</si>
  <si>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Adaptive frame heavy grenade launcher
</t>
    </r>
    <r>
      <rPr>
        <i/>
        <sz val="10"/>
        <color theme="1"/>
        <rFont val="Arial"/>
      </rPr>
      <t>Explosive Light (Regnant), Rain of Fire</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</si>
  <si>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</si>
  <si>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</si>
  <si>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</si>
  <si>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The Fourth Horseman
</t>
    </r>
    <r>
      <rPr>
        <i/>
        <sz val="10"/>
        <color theme="1"/>
        <rFont val="Arial"/>
      </rPr>
      <t>Radiant Dance Machines, body</t>
    </r>
  </si>
  <si>
    <r>
      <rPr>
        <sz val="10"/>
        <color theme="1"/>
        <rFont val="Arial"/>
      </rPr>
      <t xml:space="preserve">Adaptive rocket launcher
</t>
    </r>
    <r>
      <rPr>
        <i/>
        <sz val="10"/>
        <color theme="1"/>
        <rFont val="Arial"/>
      </rPr>
      <t>BnS, Pack Hunter, Demolitionist with manual reloads</t>
    </r>
  </si>
  <si>
    <r>
      <rPr>
        <sz val="10"/>
        <color theme="1"/>
        <rFont val="Arial"/>
      </rPr>
      <t xml:space="preserve">Malfeasance
</t>
    </r>
    <r>
      <rPr>
        <i/>
        <sz val="10"/>
        <color theme="1"/>
        <rFont val="Arial"/>
      </rPr>
      <t>Lucky Pants, 15 shot burst, blighted</t>
    </r>
  </si>
  <si>
    <r>
      <rPr>
        <sz val="10"/>
        <color theme="1"/>
        <rFont val="Arial"/>
      </rPr>
      <t xml:space="preserve">Deathbringer
</t>
    </r>
    <r>
      <rPr>
        <i/>
        <sz val="10"/>
        <color theme="1"/>
        <rFont val="Arial"/>
      </rPr>
      <t>max height on all projectiles, Radiant Dance Machines</t>
    </r>
  </si>
  <si>
    <r>
      <rPr>
        <sz val="10"/>
        <color theme="1"/>
        <rFont val="Arial"/>
      </rPr>
      <t xml:space="preserve">Solar grenade
</t>
    </r>
    <r>
      <rPr>
        <i/>
        <sz val="10"/>
        <color theme="1"/>
        <rFont val="Arial"/>
      </rPr>
      <t>Sunbracers, Touch of Flame, 6 grenades</t>
    </r>
  </si>
  <si>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</si>
  <si>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</si>
  <si>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</si>
  <si>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Legend of Acrius
</t>
    </r>
    <r>
      <rPr>
        <i/>
        <sz val="10"/>
        <color theme="1"/>
        <rFont val="Arial"/>
      </rPr>
      <t>Trench Barrel, 3x Loader</t>
    </r>
  </si>
  <si>
    <r>
      <rPr>
        <sz val="10"/>
        <color theme="1"/>
        <rFont val="Arial"/>
      </rPr>
      <t xml:space="preserve">Two-Tailed Fox
</t>
    </r>
    <r>
      <rPr>
        <i/>
        <sz val="10"/>
        <color theme="1"/>
        <rFont val="Arial"/>
      </rPr>
      <t>Radiant Dance Machines</t>
    </r>
  </si>
  <si>
    <r>
      <rPr>
        <sz val="10"/>
        <color theme="1"/>
        <rFont val="Arial"/>
      </rPr>
      <t xml:space="preserve">Parasite
</t>
    </r>
    <r>
      <rPr>
        <i/>
        <sz val="10"/>
        <color theme="1"/>
        <rFont val="Arial"/>
      </rPr>
      <t>Worm's Hunger x20, Rain of Fire, Lunafaction Boots, 3x Loader</t>
    </r>
  </si>
  <si>
    <r>
      <rPr>
        <sz val="10"/>
        <color theme="1"/>
        <rFont val="Arial"/>
      </rPr>
      <t xml:space="preserve">Merciless
</t>
    </r>
    <r>
      <rPr>
        <i/>
        <sz val="10"/>
        <color theme="1"/>
        <rFont val="Arial"/>
      </rPr>
      <t>Conserve Momentum x15, Impetus, Radiant Dance Machines</t>
    </r>
  </si>
  <si>
    <r>
      <rPr>
        <sz val="10"/>
        <color theme="1"/>
        <rFont val="Arial"/>
      </rPr>
      <t xml:space="preserve">Bequest
</t>
    </r>
    <r>
      <rPr>
        <i/>
        <sz val="10"/>
        <color theme="1"/>
        <rFont val="Arial"/>
      </rPr>
      <t>1H2L combo, Lucent Blades x3, Jagged Edge w/ e. Surrounded</t>
    </r>
  </si>
  <si>
    <r>
      <rPr>
        <sz val="10"/>
        <color theme="1"/>
        <rFont val="Arial"/>
      </rPr>
      <t xml:space="preserve">Aggressive frame shotgun swapping
</t>
    </r>
    <r>
      <rPr>
        <i/>
        <sz val="10"/>
        <color theme="1"/>
        <rFont val="Arial"/>
      </rPr>
      <t>e. Surrounded (Imperial Decree), Surrounded (A Sudden Death), Rain of Fire, body</t>
    </r>
  </si>
  <si>
    <r>
      <rPr>
        <sz val="10"/>
        <color theme="1"/>
        <rFont val="Arial"/>
      </rPr>
      <t xml:space="preserve">Bequest
</t>
    </r>
    <r>
      <rPr>
        <i/>
        <sz val="10"/>
        <color theme="1"/>
        <rFont val="Arial"/>
      </rPr>
      <t>1H6L combo, Lucent Blades x3, Jagged Edge w/ e. Surrounded</t>
    </r>
  </si>
  <si>
    <r>
      <rPr>
        <sz val="10"/>
        <color theme="1"/>
        <rFont val="Arial"/>
      </rPr>
      <t xml:space="preserve">Leviathan's Breath
</t>
    </r>
    <r>
      <rPr>
        <i/>
        <sz val="10"/>
        <color theme="1"/>
        <rFont val="Arial"/>
      </rPr>
      <t>Archer's Tempo, Lunafaction Boots, 3x Loader</t>
    </r>
  </si>
  <si>
    <r>
      <rPr>
        <sz val="10"/>
        <color theme="1"/>
        <rFont val="Arial"/>
      </rPr>
      <t xml:space="preserve">Dimensional Hypotrochoid
</t>
    </r>
    <r>
      <rPr>
        <i/>
        <sz val="10"/>
        <color theme="1"/>
        <rFont val="Arial"/>
      </rPr>
      <t>Envious Assassin x15, Vorpal Weapon, Rain of Fire</t>
    </r>
  </si>
  <si>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</si>
  <si>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Gjallarhorn
</t>
    </r>
    <r>
      <rPr>
        <i/>
        <sz val="10"/>
        <color theme="1"/>
        <rFont val="Arial"/>
      </rPr>
      <t>Rain of Fire</t>
    </r>
  </si>
  <si>
    <r>
      <rPr>
        <sz val="10"/>
        <color theme="1"/>
        <rFont val="Arial"/>
      </rPr>
      <t xml:space="preserve">Throne-Cleaver
</t>
    </r>
    <r>
      <rPr>
        <i/>
        <sz val="10"/>
        <color theme="1"/>
        <rFont val="Arial"/>
      </rPr>
      <t>1H5L combo, Lucent Blades x3, Jagged Edge w/ e. Surrounded</t>
    </r>
  </si>
  <si>
    <r>
      <rPr>
        <sz val="10"/>
        <color theme="1"/>
        <rFont val="Arial"/>
      </rPr>
      <t xml:space="preserve">Rapid-fire frame shotgun
</t>
    </r>
    <r>
      <rPr>
        <i/>
        <sz val="10"/>
        <color theme="1"/>
        <rFont val="Arial"/>
      </rPr>
      <t>e. Surrounded (IKELOS_SG_V1.0.3), Rain of Fire, body</t>
    </r>
  </si>
  <si>
    <r>
      <rPr>
        <sz val="10"/>
        <color theme="1"/>
        <rFont val="Arial"/>
      </rPr>
      <t xml:space="preserve">Fusion grenade
</t>
    </r>
    <r>
      <rPr>
        <i/>
        <sz val="10"/>
        <color theme="1"/>
        <rFont val="Arial"/>
      </rPr>
      <t>Death Throes x5, Touch of Flame, Ember of Ashes</t>
    </r>
  </si>
  <si>
    <r>
      <rPr>
        <sz val="10"/>
        <color theme="1"/>
        <rFont val="Arial"/>
      </rPr>
      <t xml:space="preserve">Pulse grenade
</t>
    </r>
    <r>
      <rPr>
        <i/>
        <sz val="10"/>
        <color theme="1"/>
        <rFont val="Arial"/>
      </rPr>
      <t>Empowered Grenade x2, Touch of Thunder</t>
    </r>
  </si>
  <si>
    <r>
      <rPr>
        <sz val="10"/>
        <color theme="1"/>
        <rFont val="Arial"/>
      </rPr>
      <t xml:space="preserve">Throne-Cleaver
</t>
    </r>
    <r>
      <rPr>
        <i/>
        <sz val="10"/>
        <color theme="1"/>
        <rFont val="Arial"/>
      </rPr>
      <t>1H2L combo, Lucent Blades x3, Jagged Edge w/ e. Surrounded</t>
    </r>
  </si>
  <si>
    <r>
      <rPr>
        <sz val="10"/>
        <color theme="1"/>
        <rFont val="Arial"/>
      </rPr>
      <t xml:space="preserve">The Wardcliff Coil
</t>
    </r>
    <r>
      <rPr>
        <i/>
        <sz val="10"/>
        <color theme="1"/>
        <rFont val="Arial"/>
      </rPr>
      <t>Radiant Dance Machines</t>
    </r>
  </si>
  <si>
    <r>
      <rPr>
        <sz val="10"/>
        <color theme="1"/>
        <rFont val="Arial"/>
      </rPr>
      <t xml:space="preserve">One Thousand Voices
</t>
    </r>
    <r>
      <rPr>
        <i/>
        <sz val="10"/>
        <color theme="1"/>
        <rFont val="Arial"/>
      </rPr>
      <t>Ember of Ashes, Rain of Fire</t>
    </r>
  </si>
  <si>
    <r>
      <rPr>
        <sz val="10"/>
        <color theme="1"/>
        <rFont val="Arial"/>
      </rPr>
      <t xml:space="preserve">Merciless
</t>
    </r>
    <r>
      <rPr>
        <i/>
        <sz val="10"/>
        <color theme="1"/>
        <rFont val="Arial"/>
      </rPr>
      <t>Conserve Momentum x15, Impetus, manual reloads, Lunafaction Boots, 3x Loader</t>
    </r>
  </si>
  <si>
    <r>
      <rPr>
        <sz val="10"/>
        <color theme="1"/>
        <rFont val="Arial"/>
      </rPr>
      <t xml:space="preserve">Xenophage
</t>
    </r>
    <r>
      <rPr>
        <i/>
        <sz val="10"/>
        <color theme="1"/>
        <rFont val="Arial"/>
      </rPr>
      <t>Actium War Rig</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</si>
  <si>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</si>
  <si>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Storm grenade
</t>
    </r>
    <r>
      <rPr>
        <i/>
        <sz val="10"/>
        <color theme="1"/>
        <rFont val="Arial"/>
      </rPr>
      <t>Empowered Grenade x2, Touch of Thunder</t>
    </r>
  </si>
  <si>
    <r>
      <rPr>
        <sz val="10"/>
        <color theme="1"/>
        <rFont val="Arial"/>
      </rPr>
      <t xml:space="preserve">Cup-Bearer SA/2
</t>
    </r>
    <r>
      <rPr>
        <i/>
        <sz val="10"/>
        <color theme="1"/>
        <rFont val="Arial"/>
      </rPr>
      <t>Cluster Bomb, Pack Hunter, Lunafaction Boots, 3x Loader</t>
    </r>
  </si>
  <si>
    <r>
      <rPr>
        <sz val="10"/>
        <color theme="1"/>
        <rFont val="Arial"/>
      </rPr>
      <t xml:space="preserve">The Lament
</t>
    </r>
    <r>
      <rPr>
        <i/>
        <sz val="10"/>
        <color theme="1"/>
        <rFont val="Arial"/>
      </rPr>
      <t>3L1H2R combo, Lucent Blades x3</t>
    </r>
  </si>
  <si>
    <r>
      <rPr>
        <sz val="10"/>
        <color theme="1"/>
        <rFont val="Arial"/>
      </rPr>
      <t>The Lament</t>
    </r>
    <r>
      <rPr>
        <i/>
        <sz val="10"/>
        <color theme="1"/>
        <rFont val="Arial"/>
      </rPr>
      <t xml:space="preserve">
2L1H1R combo, Lucent Blades x3</t>
    </r>
  </si>
  <si>
    <r>
      <rPr>
        <sz val="10"/>
        <color theme="1"/>
        <rFont val="Arial"/>
      </rPr>
      <t xml:space="preserve">Sleeper Simulant
</t>
    </r>
    <r>
      <rPr>
        <i/>
        <sz val="10"/>
        <color theme="1"/>
        <rFont val="Arial"/>
      </rPr>
      <t>Rain of Fire</t>
    </r>
  </si>
  <si>
    <r>
      <rPr>
        <sz val="10"/>
        <color theme="1"/>
        <rFont val="Arial"/>
      </rPr>
      <t xml:space="preserve">The Lament
</t>
    </r>
    <r>
      <rPr>
        <i/>
        <sz val="10"/>
        <color theme="1"/>
        <rFont val="Arial"/>
      </rPr>
      <t>4L1H3R combo, Lucent Blades x3</t>
    </r>
  </si>
  <si>
    <r>
      <rPr>
        <sz val="10"/>
        <color theme="1"/>
        <rFont val="Arial"/>
      </rPr>
      <t xml:space="preserve">Death's Razor
</t>
    </r>
    <r>
      <rPr>
        <i/>
        <sz val="10"/>
        <color theme="1"/>
        <rFont val="Arial"/>
      </rPr>
      <t>1H5L combo, Lucent Blades x3, Jagged Edge w/ e. Surrounded</t>
    </r>
  </si>
  <si>
    <r>
      <rPr>
        <sz val="10"/>
        <color theme="1"/>
        <rFont val="Arial"/>
      </rPr>
      <t xml:space="preserve">Thunderlord
</t>
    </r>
    <r>
      <rPr>
        <i/>
        <sz val="10"/>
        <color theme="1"/>
        <rFont val="Arial"/>
      </rPr>
      <t>Actium War Rig</t>
    </r>
  </si>
  <si>
    <r>
      <rPr>
        <sz val="10"/>
        <color theme="1"/>
        <rFont val="Arial"/>
      </rPr>
      <t xml:space="preserve">Cloudstrike
</t>
    </r>
    <r>
      <rPr>
        <i/>
        <sz val="10"/>
        <color theme="1"/>
        <rFont val="Arial"/>
      </rPr>
      <t>Rain of Fire</t>
    </r>
  </si>
  <si>
    <r>
      <rPr>
        <sz val="10"/>
        <color theme="1"/>
        <rFont val="Arial"/>
      </rPr>
      <t xml:space="preserve">Lord of Wolves
</t>
    </r>
    <r>
      <rPr>
        <i/>
        <sz val="10"/>
        <color theme="1"/>
        <rFont val="Arial"/>
      </rPr>
      <t>Release the Wolves, body, Rain of Fire</t>
    </r>
  </si>
  <si>
    <r>
      <rPr>
        <sz val="10"/>
        <color theme="1"/>
        <rFont val="Arial"/>
      </rPr>
      <t xml:space="preserve">Retrofit Escapade
</t>
    </r>
    <r>
      <rPr>
        <i/>
        <sz val="10"/>
        <color theme="1"/>
        <rFont val="Arial"/>
      </rPr>
      <t>e. Target Lock, Gyrfalcon's Hauberk, Lunafaction Boots, 3x Loader</t>
    </r>
  </si>
  <si>
    <r>
      <rPr>
        <sz val="10"/>
        <color theme="1"/>
        <rFont val="Arial"/>
      </rPr>
      <t xml:space="preserve">Throwing Hammer
</t>
    </r>
    <r>
      <rPr>
        <i/>
        <sz val="10"/>
        <color theme="1"/>
        <rFont val="Arial"/>
      </rPr>
      <t>Roaring Flames x3, Biotic Enhancements</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</si>
  <si>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</si>
  <si>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Precision linear fusion rifle
</t>
    </r>
    <r>
      <rPr>
        <i/>
        <sz val="10"/>
        <color theme="1"/>
        <rFont val="Arial"/>
      </rPr>
      <t>Triple Tap + Firing Line (Taipan-4fr), Rain of Fire</t>
    </r>
  </si>
  <si>
    <r>
      <rPr>
        <sz val="10"/>
        <color theme="1"/>
        <rFont val="Arial"/>
      </rPr>
      <t xml:space="preserve">Conditional Finality pellet swapping
</t>
    </r>
    <r>
      <rPr>
        <i/>
        <sz val="10"/>
        <color theme="1"/>
        <rFont val="Arial"/>
      </rPr>
      <t>Vorpal Weapon (Mindbender's Ambition), body, Rain of Fire</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</si>
  <si>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</si>
  <si>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Ager's Scepter
</t>
    </r>
    <r>
      <rPr>
        <i/>
        <sz val="10"/>
        <color theme="1"/>
        <rFont val="Arial"/>
      </rPr>
      <t>Will Given Form, Cenotaph Mask, fired until mag hits 0</t>
    </r>
  </si>
  <si>
    <r>
      <rPr>
        <sz val="10"/>
        <color theme="1"/>
        <rFont val="Arial"/>
      </rPr>
      <t xml:space="preserve">Aggressive frame sniper
</t>
    </r>
    <r>
      <rPr>
        <i/>
        <sz val="10"/>
        <color theme="1"/>
        <rFont val="Arial"/>
      </rPr>
      <t>Reconstruction + Firing Line (Succession), Rain of Fire</t>
    </r>
  </si>
  <si>
    <r>
      <rPr>
        <sz val="10"/>
        <color theme="1"/>
        <rFont val="Arial"/>
      </rPr>
      <t xml:space="preserve">Izanagi's Burden
</t>
    </r>
    <r>
      <rPr>
        <i/>
        <sz val="10"/>
        <color theme="1"/>
        <rFont val="Arial"/>
      </rPr>
      <t>including lockout (no swapping)</t>
    </r>
  </si>
  <si>
    <r>
      <rPr>
        <sz val="10"/>
        <color theme="1"/>
        <rFont val="Arial"/>
      </rPr>
      <t xml:space="preserve">High-impact fusion
</t>
    </r>
    <r>
      <rPr>
        <i/>
        <sz val="10"/>
        <color theme="1"/>
        <rFont val="Arial"/>
      </rPr>
      <t>energy, charge MW, Accelerated Coils, Cornered + e. Surrounded (Midha's Reckoning), Rain of Fire</t>
    </r>
  </si>
  <si>
    <r>
      <rPr>
        <sz val="10"/>
        <color theme="1"/>
        <rFont val="Arial"/>
      </rPr>
      <t xml:space="preserve">Conditional Finality
</t>
    </r>
    <r>
      <rPr>
        <i/>
        <sz val="10"/>
        <color theme="1"/>
        <rFont val="Arial"/>
      </rPr>
      <t>Rain of Fire, Lunafaction Boots, 3x Loader</t>
    </r>
  </si>
  <si>
    <r>
      <rPr>
        <sz val="10"/>
        <color theme="1"/>
        <rFont val="Arial"/>
      </rPr>
      <t xml:space="preserve">Heir Apparent
</t>
    </r>
    <r>
      <rPr>
        <i/>
        <sz val="10"/>
        <color theme="1"/>
        <rFont val="Arial"/>
      </rPr>
      <t>Actium War Rig</t>
    </r>
  </si>
  <si>
    <r>
      <rPr>
        <sz val="10"/>
        <color theme="1"/>
        <rFont val="Arial"/>
      </rPr>
      <t xml:space="preserve">Forerunner
</t>
    </r>
    <r>
      <rPr>
        <i/>
        <sz val="10"/>
        <color theme="1"/>
        <rFont val="Arial"/>
      </rPr>
      <t>Rain of Fire</t>
    </r>
  </si>
  <si>
    <r>
      <rPr>
        <sz val="10"/>
        <color theme="1"/>
        <rFont val="Arial"/>
      </rPr>
      <t xml:space="preserve">Tripmine Grenade
</t>
    </r>
    <r>
      <rPr>
        <i/>
        <sz val="10"/>
        <color theme="1"/>
        <rFont val="Arial"/>
      </rPr>
      <t>Young Ahamkara's Spine, Ember of Ashes</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</si>
  <si>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</si>
  <si>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Adaptive frame fusion
</t>
    </r>
    <r>
      <rPr>
        <i/>
        <sz val="10"/>
        <color theme="1"/>
        <rFont val="Arial"/>
      </rPr>
      <t>Charge MW, Accelerated Coils, Surrounded (Dream Breaker),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</si>
  <si>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</si>
  <si>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Double fire grenade launcher
</t>
    </r>
    <r>
      <rPr>
        <i/>
        <sz val="10"/>
        <color theme="1"/>
        <rFont val="Arial"/>
      </rPr>
      <t>Spike Grenades, Frenzy (Wilderflight), Rain of Fire, Lunafaction Boots, 3x Loader</t>
    </r>
  </si>
  <si>
    <r>
      <rPr>
        <sz val="10"/>
        <color theme="1"/>
        <rFont val="Arial"/>
      </rPr>
      <t xml:space="preserve">Trace rifle
</t>
    </r>
    <r>
      <rPr>
        <i/>
        <sz val="10"/>
        <color theme="1"/>
        <rFont val="Arial"/>
      </rPr>
      <t>Field Prep + Frenzy (Acasia's Dejection), Cenotaph Mask, Lunafaction Boots, 3x Loader</t>
    </r>
  </si>
  <si>
    <r>
      <rPr>
        <sz val="10"/>
        <color theme="1"/>
        <rFont val="Arial"/>
      </rPr>
      <t xml:space="preserve">Devil's Ruin
</t>
    </r>
    <r>
      <rPr>
        <i/>
        <sz val="10"/>
        <color theme="1"/>
        <rFont val="Arial"/>
      </rPr>
      <t>charged laser, Rain of Fire</t>
    </r>
  </si>
  <si>
    <r>
      <rPr>
        <sz val="10"/>
        <color theme="1"/>
        <rFont val="Arial"/>
      </rPr>
      <t xml:space="preserve">Threadling grenade
</t>
    </r>
    <r>
      <rPr>
        <i/>
        <sz val="10"/>
        <color theme="1"/>
        <rFont val="Arial"/>
      </rPr>
      <t>Death Throes x5, Thread of Evolution</t>
    </r>
  </si>
  <si>
    <r>
      <rPr>
        <sz val="10"/>
        <color theme="1"/>
        <rFont val="Arial"/>
      </rPr>
      <t xml:space="preserve">Anarchy
</t>
    </r>
    <r>
      <rPr>
        <i/>
        <sz val="10"/>
        <color theme="1"/>
        <rFont val="Arial"/>
      </rPr>
      <t>two traps</t>
    </r>
  </si>
  <si>
    <r>
      <rPr>
        <sz val="10"/>
        <color theme="1"/>
        <rFont val="Arial"/>
      </rPr>
      <t xml:space="preserve">Divinity
</t>
    </r>
    <r>
      <rPr>
        <i/>
        <sz val="10"/>
        <color theme="1"/>
        <rFont val="Arial"/>
      </rPr>
      <t>Cenotaph Mask, sustained fire</t>
    </r>
  </si>
  <si>
    <r>
      <rPr>
        <sz val="10"/>
        <color theme="1"/>
        <rFont val="Arial"/>
      </rPr>
      <t xml:space="preserve">Divinity
</t>
    </r>
    <r>
      <rPr>
        <i/>
        <sz val="10"/>
        <color theme="1"/>
        <rFont val="Arial"/>
      </rPr>
      <t>Cenotaph Mask, perfect tapping</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</si>
  <si>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</si>
  <si>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direct impact</t>
    </r>
  </si>
  <si>
    <r>
      <rPr>
        <sz val="10"/>
        <color theme="1"/>
        <rFont val="Arial"/>
      </rPr>
      <t xml:space="preserve">Arc Soul
</t>
    </r>
    <r>
      <rPr>
        <i/>
        <sz val="10"/>
        <color theme="1"/>
        <rFont val="Arial"/>
      </rPr>
      <t>Amplified</t>
    </r>
  </si>
  <si>
    <r>
      <rPr>
        <sz val="10"/>
        <color theme="1"/>
        <rFont val="Arial"/>
      </rPr>
      <t xml:space="preserve">Arc Soul
</t>
    </r>
    <r>
      <rPr>
        <i/>
        <sz val="10"/>
        <color theme="1"/>
        <rFont val="Arial"/>
      </rPr>
      <t>Base</t>
    </r>
  </si>
  <si>
    <t>Ready</t>
  </si>
  <si>
    <t>Fire</t>
  </si>
  <si>
    <t>Stow</t>
  </si>
  <si>
    <t>Swap Time</t>
  </si>
  <si>
    <t>Duration</t>
  </si>
  <si>
    <t>Swap DPS</t>
  </si>
  <si>
    <t>True DPS</t>
  </si>
  <si>
    <r>
      <rPr>
        <sz val="10"/>
        <color theme="1"/>
        <rFont val="Arial"/>
      </rPr>
      <t xml:space="preserve">Golden Gun - Marksman
</t>
    </r>
    <r>
      <rPr>
        <i/>
        <sz val="10"/>
        <color theme="1"/>
        <rFont val="Arial"/>
      </rPr>
      <t>Celestial Nighthawk, Radiant, pre-popped</t>
    </r>
  </si>
  <si>
    <r>
      <rPr>
        <sz val="10"/>
        <color theme="1"/>
        <rFont val="Arial"/>
      </rPr>
      <t xml:space="preserve">Parasite
</t>
    </r>
    <r>
      <rPr>
        <i/>
        <sz val="10"/>
        <color theme="1"/>
        <rFont val="Arial"/>
      </rPr>
      <t>Worm's Hunger x20</t>
    </r>
  </si>
  <si>
    <r>
      <rPr>
        <sz val="10"/>
        <color theme="1"/>
        <rFont val="Arial"/>
      </rPr>
      <t xml:space="preserve">Izanagi's Burden
</t>
    </r>
    <r>
      <rPr>
        <i/>
        <sz val="10"/>
        <color theme="1"/>
        <rFont val="Arial"/>
      </rPr>
      <t>excludes re-hone time</t>
    </r>
  </si>
  <si>
    <r>
      <rPr>
        <sz val="10"/>
        <color theme="1"/>
        <rFont val="Arial"/>
      </rPr>
      <t xml:space="preserve">Blade Barrage
</t>
    </r>
    <r>
      <rPr>
        <i/>
        <sz val="10"/>
        <color theme="1"/>
        <rFont val="Arial"/>
      </rPr>
      <t>Feast of Light x4</t>
    </r>
  </si>
  <si>
    <r>
      <rPr>
        <sz val="10"/>
        <color theme="1"/>
        <rFont val="Arial"/>
      </rPr>
      <t xml:space="preserve">Golden Gun - Marksman
</t>
    </r>
    <r>
      <rPr>
        <i/>
        <sz val="10"/>
        <color theme="1"/>
        <rFont val="Arial"/>
      </rPr>
      <t>Celestial Nighthawk, Radiant</t>
    </r>
  </si>
  <si>
    <r>
      <rPr>
        <sz val="10"/>
        <color theme="1"/>
        <rFont val="Arial"/>
      </rPr>
      <t xml:space="preserve">Grand Overture
</t>
    </r>
    <r>
      <rPr>
        <i/>
        <sz val="10"/>
        <color theme="1"/>
        <rFont val="Arial"/>
      </rPr>
      <t>Missiles Loaded x20</t>
    </r>
  </si>
  <si>
    <r>
      <rPr>
        <sz val="10"/>
        <color theme="1"/>
        <rFont val="Arial"/>
      </rPr>
      <t xml:space="preserve">Frenzied Blade
</t>
    </r>
    <r>
      <rPr>
        <i/>
        <sz val="10"/>
        <color theme="1"/>
        <rFont val="Arial"/>
      </rPr>
      <t>two slashes, One-Two Punch, Biotic Enhancements, Banner of War</t>
    </r>
  </si>
  <si>
    <r>
      <rPr>
        <sz val="10"/>
        <color theme="1"/>
        <rFont val="Arial"/>
      </rPr>
      <t xml:space="preserve">Frenzied Blade
</t>
    </r>
    <r>
      <rPr>
        <i/>
        <sz val="10"/>
        <color theme="1"/>
        <rFont val="Arial"/>
      </rPr>
      <t>one slash, One-Two Punch, Biotic Enhancements, Banner of War</t>
    </r>
  </si>
  <si>
    <r>
      <rPr>
        <sz val="10"/>
        <color theme="1"/>
        <rFont val="Arial"/>
      </rPr>
      <t xml:space="preserve">Rapid-fire grenade launcher
</t>
    </r>
    <r>
      <rPr>
        <i/>
        <sz val="10"/>
        <color theme="1"/>
        <rFont val="Arial"/>
      </rPr>
      <t>Spike Grenades, Envious Assassin x15 + e. Surrounded (Koraxis' Distress), 13 shots</t>
    </r>
  </si>
  <si>
    <r>
      <rPr>
        <sz val="10"/>
        <color theme="1"/>
        <rFont val="Arial"/>
      </rPr>
      <t xml:space="preserve">The Fourth Horseman
</t>
    </r>
    <r>
      <rPr>
        <i/>
        <sz val="10"/>
        <color theme="1"/>
        <rFont val="Arial"/>
      </rPr>
      <t>full mag, body</t>
    </r>
  </si>
  <si>
    <r>
      <rPr>
        <sz val="10"/>
        <color theme="1"/>
        <rFont val="Arial"/>
      </rPr>
      <t xml:space="preserve">Aggressive rocket launcher
</t>
    </r>
    <r>
      <rPr>
        <i/>
        <sz val="10"/>
        <color theme="1"/>
        <rFont val="Arial"/>
      </rPr>
      <t>BnS, Pack Hunter, Envious Assassin x15 + Restoration Ritual start, Ballidorse Wrathweavers, 4 shots</t>
    </r>
  </si>
  <si>
    <r>
      <rPr>
        <sz val="10"/>
        <color theme="1"/>
        <rFont val="Arial"/>
      </rPr>
      <t xml:space="preserve">Adaptive heavy grenade launcher
</t>
    </r>
    <r>
      <rPr>
        <i/>
        <sz val="10"/>
        <color theme="1"/>
        <rFont val="Arial"/>
      </rPr>
      <t>Spike Grenades, Cascade Point (Wendigo GL3), 6 shots</t>
    </r>
  </si>
  <si>
    <r>
      <rPr>
        <sz val="10"/>
        <color theme="1"/>
        <rFont val="Arial"/>
      </rPr>
      <t xml:space="preserve">Adaptive heavy grenade launcher
</t>
    </r>
    <r>
      <rPr>
        <i/>
        <sz val="10"/>
        <color theme="1"/>
        <rFont val="Arial"/>
      </rPr>
      <t>Spike Grenades, Envious Assassin x15, Cascade Point (Cataphract GL3), 9 shots</t>
    </r>
  </si>
  <si>
    <r>
      <rPr>
        <sz val="10"/>
        <color theme="1"/>
        <rFont val="Arial"/>
      </rPr>
      <t xml:space="preserve">Adaptive heavy grenade launcher
</t>
    </r>
    <r>
      <rPr>
        <i/>
        <sz val="10"/>
        <color theme="1"/>
        <rFont val="Arial"/>
      </rPr>
      <t>Spike Grenades, Explosive Light (Regnant), 5 shots</t>
    </r>
  </si>
  <si>
    <r>
      <rPr>
        <sz val="10"/>
        <color theme="1"/>
        <rFont val="Arial"/>
      </rPr>
      <t xml:space="preserve">Adaptive heavy grenade launcher
</t>
    </r>
    <r>
      <rPr>
        <i/>
        <sz val="10"/>
        <color theme="1"/>
        <rFont val="Arial"/>
      </rPr>
      <t>Spike Grenades, Envious Assassin x15, Bait and Switch (Cataphract GL3), 15 shots</t>
    </r>
  </si>
  <si>
    <r>
      <rPr>
        <sz val="10"/>
        <color theme="1"/>
        <rFont val="Arial"/>
      </rPr>
      <t xml:space="preserve">Aggressive rocket launcher
</t>
    </r>
    <r>
      <rPr>
        <i/>
        <sz val="10"/>
        <color theme="1"/>
        <rFont val="Arial"/>
      </rPr>
      <t>BnS, Pack Hunter, Ballidorse Wrathweavers, The Dragon's Shadow, 3 shots</t>
    </r>
  </si>
  <si>
    <r>
      <rPr>
        <sz val="10"/>
        <color theme="1"/>
        <rFont val="Arial"/>
      </rPr>
      <t xml:space="preserve">Adaptive rocket launcher
</t>
    </r>
    <r>
      <rPr>
        <i/>
        <sz val="10"/>
        <color theme="1"/>
        <rFont val="Arial"/>
      </rPr>
      <t>BnS, Pack Hunter, Rain of Fire, 3 shots</t>
    </r>
  </si>
  <si>
    <r>
      <rPr>
        <sz val="10"/>
        <color theme="1"/>
        <rFont val="Arial"/>
      </rPr>
      <t xml:space="preserve">Adaptive rocket launcher
</t>
    </r>
    <r>
      <rPr>
        <i/>
        <sz val="10"/>
        <color theme="1"/>
        <rFont val="Arial"/>
      </rPr>
      <t>BnS, Pack Hunter, The Dragon's Shadow, 3 shots</t>
    </r>
  </si>
  <si>
    <r>
      <rPr>
        <sz val="10"/>
        <color theme="1"/>
        <rFont val="Arial"/>
      </rPr>
      <t xml:space="preserve">Aggressive rocket launcher
</t>
    </r>
    <r>
      <rPr>
        <i/>
        <sz val="10"/>
        <color theme="1"/>
        <rFont val="Arial"/>
      </rPr>
      <t>BnS, Pack Hunter, Ballidorse Wrathweavers, Rain of Fire, 3 shots</t>
    </r>
  </si>
  <si>
    <r>
      <rPr>
        <sz val="10"/>
        <color theme="1"/>
        <rFont val="Arial"/>
      </rPr>
      <t xml:space="preserve">Golden Gun - Marksman
</t>
    </r>
    <r>
      <rPr>
        <i/>
        <sz val="10"/>
        <color theme="1"/>
        <rFont val="Arial"/>
      </rPr>
      <t>Feast of Light x4, Radiant</t>
    </r>
  </si>
  <si>
    <r>
      <rPr>
        <sz val="10"/>
        <color theme="1"/>
        <rFont val="Arial"/>
      </rPr>
      <t xml:space="preserve">Aggressive rocket launcher
</t>
    </r>
    <r>
      <rPr>
        <i/>
        <sz val="10"/>
        <color theme="1"/>
        <rFont val="Arial"/>
      </rPr>
      <t>BnS, Pack Hunter, Ballidorse Wrathweavers, Thread of Ascent, 2 shots</t>
    </r>
  </si>
  <si>
    <r>
      <rPr>
        <sz val="10"/>
        <color theme="1"/>
        <rFont val="Arial"/>
      </rPr>
      <t xml:space="preserve">Adaptive rocket launcher
</t>
    </r>
    <r>
      <rPr>
        <i/>
        <sz val="10"/>
        <color theme="1"/>
        <rFont val="Arial"/>
      </rPr>
      <t>BnS, Pack Hunter, Reconstruction start, 2 shots</t>
    </r>
  </si>
  <si>
    <r>
      <rPr>
        <sz val="10"/>
        <color theme="1"/>
        <rFont val="Arial"/>
      </rPr>
      <t xml:space="preserve">Adaptive rocket launcher
</t>
    </r>
    <r>
      <rPr>
        <i/>
        <sz val="10"/>
        <color theme="1"/>
        <rFont val="Arial"/>
      </rPr>
      <t>BnS, Pack Hunter, Thread of Ascent, 2 shots</t>
    </r>
  </si>
  <si>
    <r>
      <rPr>
        <sz val="10"/>
        <color theme="1"/>
        <rFont val="Arial"/>
      </rPr>
      <t xml:space="preserve">Malfeasance
</t>
    </r>
    <r>
      <rPr>
        <i/>
        <sz val="10"/>
        <color theme="1"/>
        <rFont val="Arial"/>
      </rPr>
      <t>Lucky Pants, 17 shot burst, blighted</t>
    </r>
  </si>
  <si>
    <r>
      <rPr>
        <sz val="10"/>
        <color theme="1"/>
        <rFont val="Arial"/>
      </rPr>
      <t xml:space="preserve">Aggressive rocket launcher
</t>
    </r>
    <r>
      <rPr>
        <i/>
        <sz val="10"/>
        <color theme="1"/>
        <rFont val="Arial"/>
      </rPr>
      <t>BnS, Pack Hunter, Ballidorse Wrathweavers, Marksman's Dodge, 2 shots</t>
    </r>
  </si>
  <si>
    <r>
      <rPr>
        <sz val="10"/>
        <color theme="1"/>
        <rFont val="Arial"/>
      </rPr>
      <t xml:space="preserve">Warden's Law
</t>
    </r>
    <r>
      <rPr>
        <i/>
        <sz val="10"/>
        <color theme="1"/>
        <rFont val="Arial"/>
      </rPr>
      <t>Vorpal Weapon, 13 bursts, Illegally Modded Holster</t>
    </r>
  </si>
  <si>
    <r>
      <rPr>
        <sz val="10"/>
        <color theme="1"/>
        <rFont val="Arial"/>
      </rPr>
      <t xml:space="preserve">Adaptive rocket launcher
</t>
    </r>
    <r>
      <rPr>
        <i/>
        <sz val="10"/>
        <color theme="1"/>
        <rFont val="Arial"/>
      </rPr>
      <t>BnS, Pack Hunter, Marksman's dodge, 2 shots</t>
    </r>
  </si>
  <si>
    <r>
      <rPr>
        <sz val="10"/>
        <color theme="1"/>
        <rFont val="Arial"/>
      </rPr>
      <t xml:space="preserve">Izanagi's Burden
</t>
    </r>
    <r>
      <rPr>
        <i/>
        <sz val="10"/>
        <color theme="1"/>
        <rFont val="Arial"/>
      </rPr>
      <t>includes re-hone time</t>
    </r>
  </si>
  <si>
    <r>
      <rPr>
        <sz val="10"/>
        <color theme="1"/>
        <rFont val="Arial"/>
      </rPr>
      <t xml:space="preserve">Aggressive shotgun
</t>
    </r>
    <r>
      <rPr>
        <i/>
        <sz val="10"/>
        <color theme="1"/>
        <rFont val="Arial"/>
      </rPr>
      <t>Frenzy (Ragnhild-D)</t>
    </r>
    <r>
      <rPr>
        <sz val="10"/>
        <color theme="1"/>
        <rFont val="Arial"/>
      </rPr>
      <t xml:space="preserve">, </t>
    </r>
    <r>
      <rPr>
        <i/>
        <sz val="10"/>
        <color theme="1"/>
        <rFont val="Arial"/>
      </rPr>
      <t>1 shot</t>
    </r>
  </si>
  <si>
    <r>
      <rPr>
        <sz val="10"/>
        <color theme="1"/>
        <rFont val="Arial"/>
      </rPr>
      <t xml:space="preserve">Bequest
</t>
    </r>
    <r>
      <rPr>
        <i/>
        <sz val="10"/>
        <color theme="1"/>
        <rFont val="Arial"/>
      </rPr>
      <t>heavy attack, Jagged Edge w/ e. Surrounded</t>
    </r>
  </si>
  <si>
    <r>
      <rPr>
        <sz val="10"/>
        <color theme="1"/>
        <rFont val="Arial"/>
      </rPr>
      <t xml:space="preserve">Pinpoint slug shotgun swapping
</t>
    </r>
    <r>
      <rPr>
        <i/>
        <sz val="10"/>
        <color theme="1"/>
        <rFont val="Arial"/>
      </rPr>
      <t>Surrounded (Fortissimo-11), Surrounded (Sojourner's Tale), 5 shots</t>
    </r>
  </si>
  <si>
    <r>
      <rPr>
        <sz val="10"/>
        <color theme="1"/>
        <rFont val="Arial"/>
      </rPr>
      <t xml:space="preserve">Pinpoint slug shotgun
</t>
    </r>
    <r>
      <rPr>
        <i/>
        <sz val="10"/>
        <color theme="1"/>
        <rFont val="Arial"/>
      </rPr>
      <t>Frenzy (Sojourner's Tale), 1 shot</t>
    </r>
  </si>
  <si>
    <r>
      <rPr>
        <sz val="10"/>
        <color theme="1"/>
        <rFont val="Arial"/>
      </rPr>
      <t xml:space="preserve">Double fire grenade launcher
</t>
    </r>
    <r>
      <rPr>
        <i/>
        <sz val="10"/>
        <color theme="1"/>
        <rFont val="Arial"/>
      </rPr>
      <t>energy, Spike Grenades, Frenzy (Wilderflight), 1 shot</t>
    </r>
  </si>
  <si>
    <r>
      <rPr>
        <sz val="10"/>
        <color theme="1"/>
        <rFont val="Arial"/>
      </rPr>
      <t xml:space="preserve">Bladefury
</t>
    </r>
    <r>
      <rPr>
        <i/>
        <sz val="10"/>
        <color theme="1"/>
        <rFont val="Arial"/>
      </rPr>
      <t>19 lights, suspend, Biotic Enhancements, Banner of War</t>
    </r>
  </si>
  <si>
    <r>
      <rPr>
        <sz val="10"/>
        <color theme="1"/>
        <rFont val="Arial"/>
      </rPr>
      <t xml:space="preserve">Rapid-fire shotgun
</t>
    </r>
    <r>
      <rPr>
        <i/>
        <sz val="10"/>
        <color theme="1"/>
        <rFont val="Arial"/>
      </rPr>
      <t>Cascade Point (IKELOS_SG_V1.0.3), body, 8 shots</t>
    </r>
  </si>
  <si>
    <r>
      <rPr>
        <sz val="10"/>
        <color theme="1"/>
        <rFont val="Arial"/>
      </rPr>
      <t xml:space="preserve">Adaptive rocket launcher
</t>
    </r>
    <r>
      <rPr>
        <i/>
        <sz val="10"/>
        <color theme="1"/>
        <rFont val="Arial"/>
      </rPr>
      <t>Bipod, Pack Hunter, Reconstruction start, 4 shots</t>
    </r>
  </si>
  <si>
    <r>
      <rPr>
        <sz val="10"/>
        <color theme="1"/>
        <rFont val="Arial"/>
      </rPr>
      <t xml:space="preserve">Bequest
</t>
    </r>
    <r>
      <rPr>
        <i/>
        <sz val="10"/>
        <color theme="1"/>
        <rFont val="Arial"/>
      </rPr>
      <t>heavy attack, Jagged Edge w/ En Garde</t>
    </r>
  </si>
  <si>
    <r>
      <rPr>
        <sz val="10"/>
        <color theme="1"/>
        <rFont val="Arial"/>
      </rPr>
      <t xml:space="preserve">Rapid-fire shotgun
</t>
    </r>
    <r>
      <rPr>
        <i/>
        <sz val="10"/>
        <color theme="1"/>
        <rFont val="Arial"/>
      </rPr>
      <t>e. Surrounded (IKELOS_SG_V1.0.3), body, 8 shots</t>
    </r>
  </si>
  <si>
    <r>
      <rPr>
        <sz val="10"/>
        <color theme="1"/>
        <rFont val="Arial"/>
      </rPr>
      <t xml:space="preserve">Aggressive rocket launcher
</t>
    </r>
    <r>
      <rPr>
        <i/>
        <sz val="10"/>
        <color theme="1"/>
        <rFont val="Arial"/>
      </rPr>
      <t>BnS, Pack Hunter, Ballidorse Wrathweavers, 1 shot</t>
    </r>
  </si>
  <si>
    <r>
      <rPr>
        <sz val="10"/>
        <color theme="1"/>
        <rFont val="Arial"/>
      </rPr>
      <t xml:space="preserve">Adaptive rocket launcher
</t>
    </r>
    <r>
      <rPr>
        <i/>
        <sz val="10"/>
        <color theme="1"/>
        <rFont val="Arial"/>
      </rPr>
      <t>BnS, Pack Hunter, 1 shot</t>
    </r>
  </si>
  <si>
    <r>
      <rPr>
        <sz val="10"/>
        <color theme="1"/>
        <rFont val="Arial"/>
      </rPr>
      <t xml:space="preserve">Aggressive shotgun swapping
</t>
    </r>
    <r>
      <rPr>
        <i/>
        <sz val="10"/>
        <color theme="1"/>
        <rFont val="Arial"/>
      </rPr>
      <t>e. Surrounded (Imperial Decree), Surrounded (A Sudden Death), body, 4 shots</t>
    </r>
  </si>
  <si>
    <r>
      <rPr>
        <sz val="10"/>
        <color theme="1"/>
        <rFont val="Arial"/>
      </rPr>
      <t xml:space="preserve">Shadowshot: Moebius Quiver
</t>
    </r>
    <r>
      <rPr>
        <i/>
        <sz val="10"/>
        <color theme="1"/>
        <rFont val="Arial"/>
      </rPr>
      <t>Feast of Light x4, per volley</t>
    </r>
  </si>
  <si>
    <r>
      <rPr>
        <sz val="10"/>
        <color theme="1"/>
        <rFont val="Arial"/>
      </rPr>
      <t xml:space="preserve">Thundercrash
</t>
    </r>
    <r>
      <rPr>
        <i/>
        <sz val="10"/>
        <color theme="1"/>
        <rFont val="Arial"/>
      </rPr>
      <t>Cuirass of the Falling Star</t>
    </r>
  </si>
  <si>
    <r>
      <rPr>
        <sz val="10"/>
        <color theme="1"/>
        <rFont val="Arial"/>
      </rPr>
      <t xml:space="preserve">Pinpoint slug shotgun swapping
</t>
    </r>
    <r>
      <rPr>
        <i/>
        <sz val="10"/>
        <color theme="1"/>
        <rFont val="Arial"/>
      </rPr>
      <t>Frenzy (Fortissimo-11), Frenzy (Sojourner's Tale), 5 shots</t>
    </r>
  </si>
  <si>
    <r>
      <rPr>
        <sz val="10"/>
        <color theme="1"/>
        <rFont val="Arial"/>
      </rPr>
      <t xml:space="preserve">Aggressive sword
</t>
    </r>
    <r>
      <rPr>
        <i/>
        <sz val="10"/>
        <color theme="1"/>
        <rFont val="Arial"/>
      </rPr>
      <t>heavy attack, Jagged Edge w/ e. Surrounded</t>
    </r>
  </si>
  <si>
    <r>
      <rPr>
        <sz val="10"/>
        <color theme="1"/>
        <rFont val="Arial"/>
      </rPr>
      <t xml:space="preserve">Lightweight shotgun
</t>
    </r>
    <r>
      <rPr>
        <i/>
        <sz val="10"/>
        <color theme="1"/>
        <rFont val="Arial"/>
      </rPr>
      <t>Vorpal Weapon (Xenoclast IV), body, 1 shot</t>
    </r>
  </si>
  <si>
    <r>
      <rPr>
        <sz val="10"/>
        <color theme="1"/>
        <rFont val="Arial"/>
      </rPr>
      <t xml:space="preserve">Vortex sword
</t>
    </r>
    <r>
      <rPr>
        <i/>
        <sz val="10"/>
        <color theme="1"/>
        <rFont val="Arial"/>
      </rPr>
      <t>heavy attack, Jagged Edge w/ Counterattack + e. Surrounded</t>
    </r>
  </si>
  <si>
    <r>
      <rPr>
        <sz val="10"/>
        <color theme="1"/>
        <rFont val="Arial"/>
      </rPr>
      <t xml:space="preserve">Lightweight shotgun swapping
</t>
    </r>
    <r>
      <rPr>
        <i/>
        <sz val="10"/>
        <color theme="1"/>
        <rFont val="Arial"/>
      </rPr>
      <t>Vorpal Weapon (Riiswalker), Vorpal Weapon (Xenoclast IV), body, 5 shots</t>
    </r>
  </si>
  <si>
    <r>
      <rPr>
        <sz val="10"/>
        <color theme="1"/>
        <rFont val="Arial"/>
      </rPr>
      <t xml:space="preserve">Lightweight grenade launcher
</t>
    </r>
    <r>
      <rPr>
        <i/>
        <sz val="10"/>
        <color theme="1"/>
        <rFont val="Arial"/>
      </rPr>
      <t>energy, Spike Grenades, Vorpal Weapon (Empty Vessel), 1 shot</t>
    </r>
  </si>
  <si>
    <r>
      <rPr>
        <sz val="10"/>
        <color theme="1"/>
        <rFont val="Arial"/>
      </rPr>
      <t xml:space="preserve">Conditional Finality pellet swapping
</t>
    </r>
    <r>
      <rPr>
        <i/>
        <sz val="10"/>
        <color theme="1"/>
        <rFont val="Arial"/>
      </rPr>
      <t>Vorpal Weapon (Mindbender's Ambition), body, 4 shots</t>
    </r>
  </si>
  <si>
    <r>
      <rPr>
        <sz val="10"/>
        <color theme="1"/>
        <rFont val="Arial"/>
      </rPr>
      <t xml:space="preserve">Adaptive rocket launcher
</t>
    </r>
    <r>
      <rPr>
        <i/>
        <sz val="10"/>
        <color theme="1"/>
        <rFont val="Arial"/>
      </rPr>
      <t>Bipod, Pack Hunter, 2 shots</t>
    </r>
  </si>
  <si>
    <r>
      <rPr>
        <sz val="10"/>
        <color theme="1"/>
        <rFont val="Arial"/>
      </rPr>
      <t xml:space="preserve">Rapid-fire sniper
</t>
    </r>
    <r>
      <rPr>
        <i/>
        <sz val="10"/>
        <color theme="1"/>
        <rFont val="Arial"/>
      </rPr>
      <t>e. Rewind Rounds + e. Bait and Switch (The Supremacy), 22 shots</t>
    </r>
  </si>
  <si>
    <r>
      <rPr>
        <sz val="10"/>
        <color theme="1"/>
        <rFont val="Arial"/>
      </rPr>
      <t xml:space="preserve">Rapid-fire sniper
</t>
    </r>
    <r>
      <rPr>
        <i/>
        <sz val="10"/>
        <color theme="1"/>
        <rFont val="Arial"/>
      </rPr>
      <t>Firing Line (Distant Tumulus), 2 shots</t>
    </r>
  </si>
  <si>
    <r>
      <rPr>
        <sz val="10"/>
        <color theme="1"/>
        <rFont val="Arial"/>
      </rPr>
      <t xml:space="preserve">Vortex sword
</t>
    </r>
    <r>
      <rPr>
        <i/>
        <sz val="10"/>
        <color theme="1"/>
        <rFont val="Arial"/>
      </rPr>
      <t>heavy attack, Jagged Edge w/ e. Surrounded</t>
    </r>
  </si>
  <si>
    <r>
      <rPr>
        <sz val="10"/>
        <color theme="1"/>
        <rFont val="Arial"/>
      </rPr>
      <t xml:space="preserve">The Mountaintop
</t>
    </r>
    <r>
      <rPr>
        <i/>
        <sz val="10"/>
        <color theme="1"/>
        <rFont val="Arial"/>
      </rPr>
      <t>Spike Grenades, 1 shot</t>
    </r>
  </si>
  <si>
    <r>
      <rPr>
        <sz val="10"/>
        <color theme="1"/>
        <rFont val="Arial"/>
      </rPr>
      <t xml:space="preserve">Aggressive sniper
</t>
    </r>
    <r>
      <rPr>
        <i/>
        <sz val="10"/>
        <color theme="1"/>
        <rFont val="Arial"/>
      </rPr>
      <t>Reconstruction + Firing Line (Succession), 8 shots</t>
    </r>
  </si>
  <si>
    <r>
      <rPr>
        <sz val="10"/>
        <color theme="1"/>
        <rFont val="Arial"/>
      </rPr>
      <t xml:space="preserve">Gjallarhorn
</t>
    </r>
    <r>
      <rPr>
        <i/>
        <sz val="10"/>
        <color theme="1"/>
        <rFont val="Arial"/>
      </rPr>
      <t>2 shots</t>
    </r>
  </si>
  <si>
    <r>
      <rPr>
        <sz val="10"/>
        <color theme="1"/>
        <rFont val="Arial"/>
      </rPr>
      <t xml:space="preserve">High-impact fusion
</t>
    </r>
    <r>
      <rPr>
        <i/>
        <sz val="10"/>
        <color theme="1"/>
        <rFont val="Arial"/>
      </rPr>
      <t>energy, charge MW, Accelerated Coils, Cornered + e. Surrounded (Midha's Reckoning), 1 shot</t>
    </r>
  </si>
  <si>
    <r>
      <rPr>
        <sz val="10"/>
        <color theme="1"/>
        <rFont val="Arial"/>
      </rPr>
      <t xml:space="preserve">Tessellation
</t>
    </r>
    <r>
      <rPr>
        <i/>
        <sz val="10"/>
        <color theme="1"/>
        <rFont val="Arial"/>
      </rPr>
      <t>Property: Irreducible</t>
    </r>
  </si>
  <si>
    <r>
      <rPr>
        <sz val="10"/>
        <color theme="1"/>
        <rFont val="Arial"/>
      </rPr>
      <t xml:space="preserve">Adaptive fusion
</t>
    </r>
    <r>
      <rPr>
        <i/>
        <sz val="10"/>
        <color theme="1"/>
        <rFont val="Arial"/>
      </rPr>
      <t>Charge MW, Accelerated Coils, Surrounded (Dream Breaker), 1 shot</t>
    </r>
  </si>
  <si>
    <r>
      <rPr>
        <sz val="10"/>
        <color theme="1"/>
        <rFont val="Arial"/>
      </rPr>
      <t xml:space="preserve">Gjallarhorn
</t>
    </r>
    <r>
      <rPr>
        <i/>
        <sz val="10"/>
        <color theme="1"/>
        <rFont val="Arial"/>
      </rPr>
      <t>1 shot</t>
    </r>
  </si>
  <si>
    <r>
      <rPr>
        <sz val="10"/>
        <color theme="1"/>
        <rFont val="Arial"/>
      </rPr>
      <t xml:space="preserve">Rapid-fire fusion
</t>
    </r>
    <r>
      <rPr>
        <i/>
        <sz val="10"/>
        <color theme="1"/>
        <rFont val="Arial"/>
      </rPr>
      <t>Charge MW, Accelerated Coils, Vorpal Weapon (Cartesian Coordinate), 1 shot</t>
    </r>
  </si>
  <si>
    <r>
      <rPr>
        <sz val="10"/>
        <color theme="1"/>
        <rFont val="Arial"/>
      </rPr>
      <t xml:space="preserve">Burning Maul
</t>
    </r>
    <r>
      <rPr>
        <i/>
        <sz val="10"/>
        <color theme="1"/>
        <rFont val="Arial"/>
      </rPr>
      <t>Pyrogale Gauntlets, Biotic Enhancements, Roaring Flames x3</t>
    </r>
  </si>
  <si>
    <r>
      <rPr>
        <sz val="10"/>
        <color theme="1"/>
        <rFont val="Arial"/>
      </rPr>
      <t xml:space="preserve">Gathering Storm
</t>
    </r>
    <r>
      <rPr>
        <i/>
        <sz val="10"/>
        <color theme="1"/>
        <rFont val="Arial"/>
      </rPr>
      <t>Feast of Light x4</t>
    </r>
  </si>
  <si>
    <r>
      <rPr>
        <sz val="10"/>
        <color theme="1"/>
        <rFont val="Arial"/>
      </rPr>
      <t xml:space="preserve">Cloudstrike
</t>
    </r>
    <r>
      <rPr>
        <i/>
        <sz val="10"/>
        <color theme="1"/>
        <rFont val="Arial"/>
      </rPr>
      <t>3 shots</t>
    </r>
  </si>
  <si>
    <r>
      <rPr>
        <sz val="10"/>
        <color theme="1"/>
        <rFont val="Arial"/>
      </rPr>
      <t xml:space="preserve">Rapid-fire sniper
</t>
    </r>
    <r>
      <rPr>
        <i/>
        <sz val="10"/>
        <color theme="1"/>
        <rFont val="Arial"/>
      </rPr>
      <t>e. Kinetic Tremors (The Supremacy), 2 shots</t>
    </r>
  </si>
  <si>
    <r>
      <rPr>
        <sz val="10"/>
        <color theme="1"/>
        <rFont val="Arial"/>
      </rPr>
      <t xml:space="preserve">Tripmine Grenade
</t>
    </r>
    <r>
      <rPr>
        <i/>
        <sz val="10"/>
        <color theme="1"/>
        <rFont val="Arial"/>
      </rPr>
      <t>Young Ahamkara's Spine, Ember of Ashes</t>
    </r>
  </si>
  <si>
    <r>
      <rPr>
        <sz val="10"/>
        <color theme="1"/>
        <rFont val="Arial"/>
      </rPr>
      <t xml:space="preserve">Fusion grenade
</t>
    </r>
    <r>
      <rPr>
        <i/>
        <sz val="10"/>
        <color theme="1"/>
        <rFont val="Arial"/>
      </rPr>
      <t>Death Throes x5, Touch of Flame, Ember of Ashes</t>
    </r>
  </si>
  <si>
    <r>
      <rPr>
        <sz val="10"/>
        <color theme="1"/>
        <rFont val="Arial"/>
      </rPr>
      <t xml:space="preserve">Anarchy
</t>
    </r>
    <r>
      <rPr>
        <i/>
        <sz val="10"/>
        <color theme="1"/>
        <rFont val="Arial"/>
      </rPr>
      <t>two traps</t>
    </r>
  </si>
  <si>
    <r>
      <rPr>
        <sz val="10"/>
        <color theme="1"/>
        <rFont val="Arial"/>
      </rPr>
      <t xml:space="preserve">Threadling grenade
</t>
    </r>
    <r>
      <rPr>
        <i/>
        <sz val="10"/>
        <color theme="1"/>
        <rFont val="Arial"/>
      </rPr>
      <t>Death Throes x5, Thread of Evolution</t>
    </r>
  </si>
  <si>
    <r>
      <rPr>
        <sz val="10"/>
        <color theme="1"/>
        <rFont val="Arial"/>
      </rPr>
      <t xml:space="preserve">Solar grenade
</t>
    </r>
    <r>
      <rPr>
        <i/>
        <sz val="10"/>
        <color theme="1"/>
        <rFont val="Arial"/>
      </rPr>
      <t>Death Throes x5, Touch of Flame, 1 grenade</t>
    </r>
  </si>
  <si>
    <r>
      <rPr>
        <sz val="10"/>
        <color theme="1"/>
        <rFont val="Arial"/>
      </rPr>
      <t xml:space="preserve">Pulse grenade
</t>
    </r>
    <r>
      <rPr>
        <i/>
        <sz val="10"/>
        <color theme="1"/>
        <rFont val="Arial"/>
      </rPr>
      <t>Empowered Grenade x2, Spark of Magnitude, Touch of Thunder</t>
    </r>
  </si>
  <si>
    <r>
      <rPr>
        <sz val="10"/>
        <color theme="1"/>
        <rFont val="Arial"/>
      </rPr>
      <t xml:space="preserve">Solar grenade
</t>
    </r>
    <r>
      <rPr>
        <i/>
        <sz val="10"/>
        <color theme="1"/>
        <rFont val="Arial"/>
      </rPr>
      <t>Sunbracers, Touch of Flame, 6 grenades</t>
    </r>
  </si>
  <si>
    <r>
      <rPr>
        <sz val="10"/>
        <color theme="1"/>
        <rFont val="Arial"/>
      </rPr>
      <t xml:space="preserve">Storm grenade
</t>
    </r>
    <r>
      <rPr>
        <i/>
        <sz val="10"/>
        <color theme="1"/>
        <rFont val="Arial"/>
      </rPr>
      <t>Empowered Grenade x2, Touch of Thunder</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</si>
  <si>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</si>
  <si>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ground</t>
    </r>
  </si>
  <si>
    <t>HEALTH</t>
  </si>
  <si>
    <t>FACTORS</t>
  </si>
  <si>
    <t>SPEEDRUN STRATEGY</t>
  </si>
  <si>
    <t>Activity</t>
  </si>
  <si>
    <t>Boss</t>
  </si>
  <si>
    <t>Ingame</t>
  </si>
  <si>
    <t>Scalar</t>
  </si>
  <si>
    <t>Crit</t>
  </si>
  <si>
    <t>Enemy model</t>
  </si>
  <si>
    <t>Enemy species</t>
  </si>
  <si>
    <t>Mechanics</t>
  </si>
  <si>
    <t>Setup</t>
  </si>
  <si>
    <t>Adds</t>
  </si>
  <si>
    <t>Range</t>
  </si>
  <si>
    <t>Mods</t>
  </si>
  <si>
    <t>Player 1</t>
  </si>
  <si>
    <t>Player 2</t>
  </si>
  <si>
    <t>Player 3</t>
  </si>
  <si>
    <t>Player 4</t>
  </si>
  <si>
    <t>Player 5</t>
  </si>
  <si>
    <t>Player 6</t>
  </si>
  <si>
    <t>Strategy</t>
  </si>
  <si>
    <t>Kill length</t>
  </si>
  <si>
    <t>Team DPS</t>
  </si>
  <si>
    <t>Last Wish</t>
  </si>
  <si>
    <t>Kalli</t>
  </si>
  <si>
    <t>Techeun</t>
  </si>
  <si>
    <t>Taken</t>
  </si>
  <si>
    <t>Plate trapping</t>
  </si>
  <si>
    <t>Medium</t>
  </si>
  <si>
    <t>Few
Close</t>
  </si>
  <si>
    <t>Close</t>
  </si>
  <si>
    <t>Taken Spec
Transcendent Blessing
Riven's Curse</t>
  </si>
  <si>
    <t>Skip</t>
  </si>
  <si>
    <t>Witherhoard &gt; double slug / Tractor
Boots of the Assembler</t>
  </si>
  <si>
    <t>Izanagi's Burden / slug
Ophidian Aspect</t>
  </si>
  <si>
    <t>Izanagi's Burden / slug
Golden Gun - Marksman
Star-Eater Scales &gt; Foetracer</t>
  </si>
  <si>
    <t>Trap using Witherhoard, then kill using high burst precision weapons at plate</t>
  </si>
  <si>
    <t>Shuro Chi</t>
  </si>
  <si>
    <t>Six breaks</t>
  </si>
  <si>
    <t>Short</t>
  </si>
  <si>
    <t>No</t>
  </si>
  <si>
    <t>Close to medium</t>
  </si>
  <si>
    <t>Recombination slug / Tractor
Ember of Torches</t>
  </si>
  <si>
    <t>Recombination slug / Gjallarhorn
Ember of Torches</t>
  </si>
  <si>
    <t>Izanagi's Burden
Golden Gun - Marksman
Celestial Nighthawk</t>
  </si>
  <si>
    <t>Break Shuro's shield, then everyone but Tractor and Gjallarhorn shoots one Izi shot while they slug</t>
  </si>
  <si>
    <t>Morgeth</t>
  </si>
  <si>
    <t>Ogre</t>
  </si>
  <si>
    <t>Long</t>
  </si>
  <si>
    <t>Many
Medium</t>
  </si>
  <si>
    <t>Parasite &gt; Tractor
Blade Barrage
Star-Eater Scales</t>
  </si>
  <si>
    <t>Parasite
Blade Barrage
Star-Eater Scales</t>
  </si>
  <si>
    <t>Build stacks off Morgeth whenever, then kill with volley and damage supers</t>
  </si>
  <si>
    <t>Riven</t>
  </si>
  <si>
    <t>Ahamkara</t>
  </si>
  <si>
    <t>Sending</t>
  </si>
  <si>
    <t>Many
Close</t>
  </si>
  <si>
    <t>Send</t>
  </si>
  <si>
    <t>Tractor
Nova Bomb - Cataclysm</t>
  </si>
  <si>
    <t>Dimensional Hypotrochoid</t>
  </si>
  <si>
    <t>Dimensional Hypotrochoid
Blade Barrage
Star-Eater Scales</t>
  </si>
  <si>
    <t>Bounce wave shots off the wall above Riven's arm, then cast damage supers toward her left cheek</t>
  </si>
  <si>
    <t>Garden of Salvation</t>
  </si>
  <si>
    <t>Consecrated</t>
  </si>
  <si>
    <t>Harpy</t>
  </si>
  <si>
    <t>Vex</t>
  </si>
  <si>
    <t>Twelve eyes, backwards movement, projectile avoidance, temporary relay</t>
  </si>
  <si>
    <t>Enhanced Relay Defender</t>
  </si>
  <si>
    <t>Doing 4th</t>
  </si>
  <si>
    <t>Double slug / Tractor
Golden Gun - Marksman
Celestial Nighthawk</t>
  </si>
  <si>
    <t>Izanagi's Burden / rapid-fire sniper / rocket
Golden Gun - Marksman
Celestial Nighthawk</t>
  </si>
  <si>
    <t>Break eyes using snipers, then cast damage supers and dump rockets</t>
  </si>
  <si>
    <t>Sanctified</t>
  </si>
  <si>
    <t>Minotaur</t>
  </si>
  <si>
    <t>Two/three person tether, persistent relay, ground vs. air hitbox</t>
  </si>
  <si>
    <t>Far</t>
  </si>
  <si>
    <t>Gjallarhorn
Well of Radiance
Rain of Fire</t>
  </si>
  <si>
    <t>Lumina / GL / rocket
Shadowshot - Deadfall Tether
Radiant Dance Machines</t>
  </si>
  <si>
    <t>Izanagi's Burden / GL / rocket
Well of Radiance
Rain of Fire</t>
  </si>
  <si>
    <t>Doing 3rd</t>
  </si>
  <si>
    <t>Gather around relay right after tethering and then dump rockets</t>
  </si>
  <si>
    <t>Deep Stone Crypt</t>
  </si>
  <si>
    <t>Crypt
Security</t>
  </si>
  <si>
    <t>Object</t>
  </si>
  <si>
    <t>Fallen</t>
  </si>
  <si>
    <t>Random fuse order, two chamber room</t>
  </si>
  <si>
    <t>Scanner</t>
  </si>
  <si>
    <t>Operator</t>
  </si>
  <si>
    <t>Early transition</t>
  </si>
  <si>
    <t>The Wardcliff Coil
Well of Radiance
Rain of Fire</t>
  </si>
  <si>
    <t>Sit by fuses with a range and damage buff and then dump ammo into them on scanner call</t>
  </si>
  <si>
    <t>Atraks</t>
  </si>
  <si>
    <t>Baron</t>
  </si>
  <si>
    <t>Scanner call, clone disappearance, proxy boss</t>
  </si>
  <si>
    <t>None</t>
  </si>
  <si>
    <t>The Fourth Horseman
Thundercrash
Cuirass of the Falling Star</t>
  </si>
  <si>
    <t>Airlock</t>
  </si>
  <si>
    <t>Blade Barrage
Star-Eater Scales</t>
  </si>
  <si>
    <t>Wait for scanner call then immediately cast damage super on the correct clone and dump ammo</t>
  </si>
  <si>
    <t>Taniks</t>
  </si>
  <si>
    <t>Captain</t>
  </si>
  <si>
    <t>Add clear-gated start, shock field</t>
  </si>
  <si>
    <t>Double pellet / rocket
Rain of Fire</t>
  </si>
  <si>
    <t>Double pellet / Gjallarhorn
Well of Radiance
Rain of Fire</t>
  </si>
  <si>
    <t>Double pellet / rocket
Blade Barrage
Star-Eater Scales</t>
  </si>
  <si>
    <t>Double pellet / Tractor
Boots of the Assembler</t>
  </si>
  <si>
    <t>Double pellet / rocket
Thundercrash
Cuirass of the Falling Star</t>
  </si>
  <si>
    <t>Finish killing adds, run to damage, immediately dump supers and rockets</t>
  </si>
  <si>
    <t>Vault of Glass</t>
  </si>
  <si>
    <t>Templar</t>
  </si>
  <si>
    <t>Standard</t>
  </si>
  <si>
    <t>Relic super, detains, teleport blocks</t>
  </si>
  <si>
    <t>Parasite &gt; Gjallarhorn
Winter's Wrath, Empowering Rift
Ballidorse &gt; Assembler</t>
  </si>
  <si>
    <t>Parasite &gt; Cold Comfort
Golden Gun - Marksman
Celestial Nighthawk &gt; Foetracer</t>
  </si>
  <si>
    <t>Wait for relic break then immediately dump supers/rockets, rally, then do it again</t>
  </si>
  <si>
    <t>Atheon</t>
  </si>
  <si>
    <t>Final wave of oracles, Time's Vengeance</t>
  </si>
  <si>
    <t>Many
Varies</t>
  </si>
  <si>
    <t>Xenophage
Needlestorm
Ophidian Aspect</t>
  </si>
  <si>
    <t>Tractor &gt; rocket
Well of Radiance, fusion grenades
Verity's Brow</t>
  </si>
  <si>
    <t>Lumina / rocket
Well of Radiance, fusion grenades
Verity's Brow</t>
  </si>
  <si>
    <t>Gjallarhorn
Well of Radiance, fusion grenades
Verity's Brow</t>
  </si>
  <si>
    <t>Eriana's Vow / rocket
Well of Radiance, fusion grenades
Verity's Brow</t>
  </si>
  <si>
    <t>Build stacks, wait for 2nd last oracle, then start throwing nades and dumping rockets</t>
  </si>
  <si>
    <t>Vow of the Disciple</t>
  </si>
  <si>
    <t>Caretaker</t>
  </si>
  <si>
    <t>Abomination</t>
  </si>
  <si>
    <t>Scorn</t>
  </si>
  <si>
    <t>Pervading Darkness missiles, plate damage, post-threshold timer</t>
  </si>
  <si>
    <t>Into the Light</t>
  </si>
  <si>
    <t>Grand Overture
Needlestorm, Empowering Rift
Felwinter's &gt; Assembler</t>
  </si>
  <si>
    <t>Grand Overture
Fusion grenades
Verity's Brow</t>
  </si>
  <si>
    <t>Grand Overture
Pulse grenades
Heart of Inmost Light</t>
  </si>
  <si>
    <t>Build stacks, start throwing nades 5 seconds before damage, then dump ammo and supers</t>
  </si>
  <si>
    <t>Rhulk</t>
  </si>
  <si>
    <t>Lubraean</t>
  </si>
  <si>
    <t>Four crits, Pervading Darkness beams, roaming position</t>
  </si>
  <si>
    <t>Many
Far</t>
  </si>
  <si>
    <t>Double slug / Tractor
Well of Radiance
Boots of the Assembler</t>
  </si>
  <si>
    <t>Gjallarhorn
Fusion grenades
Verity's Brow</t>
  </si>
  <si>
    <t>Izanagi's Burden / rocket
Fusion grenades
Verity's Brow</t>
  </si>
  <si>
    <t>Build stacks, break crits, go to damage well, then start throwing nades and dumping rockets</t>
  </si>
  <si>
    <t>King's Fall</t>
  </si>
  <si>
    <t>Warpriest</t>
  </si>
  <si>
    <t>Knight</t>
  </si>
  <si>
    <t>Hive</t>
  </si>
  <si>
    <t>Brand Claimers, glyph reading</t>
  </si>
  <si>
    <t>Double pellet / Tractor
Needlestorm
Verity's Brow</t>
  </si>
  <si>
    <t>Double slug / Gjallarhorn
Well of Radiance
Lunafaction Boots</t>
  </si>
  <si>
    <t>Izanagi's burden / GL / rocket
Needlestorm &gt; Winter's Wrath
Ophidian Aspect</t>
  </si>
  <si>
    <t>Izanagi's burden / GL / rocket
Needlestorm &gt; Winter's Wrath
Necrotic Grip</t>
  </si>
  <si>
    <t>Finish glyph reading, go top right, then dump supers and rockets</t>
  </si>
  <si>
    <t>Golgoroth</t>
  </si>
  <si>
    <t>Golgoroth's Gaze, Pools of Reclaimed Light</t>
  </si>
  <si>
    <t>Lumina / trace / rocket
Fusion grenades, Ember of Torches
Verity's Brow</t>
  </si>
  <si>
    <t>Sniper / trace / Gjallarhorn
Fusion grenades, Ember of Torches
Verity's Brow</t>
  </si>
  <si>
    <t>GL / Eriana's / rocket
Fusion grenades, Ember of Torches
Verity's Brow</t>
  </si>
  <si>
    <t>Sniper / GL / Tractor Cannon
Thundercrash, storm grenades
HoIL &gt; Cuirass</t>
  </si>
  <si>
    <t>Bring stacks, shoot down bubbles, then trade gaze while dumping rockets and throwing nades</t>
  </si>
  <si>
    <t>Daughters</t>
  </si>
  <si>
    <t>Wizard</t>
  </si>
  <si>
    <t>Brand Claimers, lethal raised boss platform</t>
  </si>
  <si>
    <t>Lumina / trace / sword
Well of Radiance, fusion grenades
Verity's Brow</t>
  </si>
  <si>
    <t>Sniper / trace / Tractor
Well of Radiance, fusion grenades
Verity's Brow</t>
  </si>
  <si>
    <t>Sniper / trace / Gjallarhorn
Well of Radiance, fusion grenades
Verity's Brow</t>
  </si>
  <si>
    <t>Izanagi's Burden / GL / rocket
Needlestorm
Ophidian Aspect</t>
  </si>
  <si>
    <t>Izanagi's Burden / GL / rocket
Needlestorm
Necrotic Grip</t>
  </si>
  <si>
    <t>Double dunk</t>
  </si>
  <si>
    <t>Build stacks, wait for dunk, then dump rockets and throw nades until 1st is dead, then swap and go again</t>
  </si>
  <si>
    <t>Oryx</t>
  </si>
  <si>
    <t>Corrupted Lights</t>
  </si>
  <si>
    <t>Lumina / trace / rocket
Well of Radiance, fusion grenades
Verity's Brow</t>
  </si>
  <si>
    <t>Double pellet / Tractor
Thundercrash
Cuirass of the Falling Star</t>
  </si>
  <si>
    <t>Build stacks, get in bomb, go to damage, then dump rockets and throw nades</t>
  </si>
  <si>
    <t>Root of Nightmares</t>
  </si>
  <si>
    <t>Explicator</t>
  </si>
  <si>
    <t>Incendior</t>
  </si>
  <si>
    <t>Cabal</t>
  </si>
  <si>
    <t>Alternating buff plates, post-threshold timer</t>
  </si>
  <si>
    <t>Focused Light</t>
  </si>
  <si>
    <t>Lumina / GL / rocket
Rain of Fire</t>
  </si>
  <si>
    <t>Double slug / Tractor
Well of Radiance
Lunafaction Boots</t>
  </si>
  <si>
    <t>Double slug / Gjallarhorn
Rain of Fire</t>
  </si>
  <si>
    <t>Izanagi's Burden / GL / rocket
Rain of Fire</t>
  </si>
  <si>
    <t>Establish starting plate then dump rockets simultaneously</t>
  </si>
  <si>
    <t>Nezarec</t>
  </si>
  <si>
    <t>Tormentor</t>
  </si>
  <si>
    <t>Suppressing melee attack, teleports</t>
  </si>
  <si>
    <t>Double slug / Gjallarhorn
Well of Radiance
Lunafaction Boots &gt; Rain of Fire</t>
  </si>
  <si>
    <t>Double slug / Tractor
Needlestorm
Ophidian Aspect</t>
  </si>
  <si>
    <t>Double slug / rocket
Rain of Fire</t>
  </si>
  <si>
    <t>Double slug / rocket
Needlestorm
Necrotic Grip</t>
  </si>
  <si>
    <t>Double slug / rocket
Needlestorm
Ophidian Aspect</t>
  </si>
  <si>
    <t>Finish killing adds, go to top left plate, then dump rockets and supers</t>
  </si>
  <si>
    <t>Crota's End</t>
  </si>
  <si>
    <t>Ir Yut</t>
  </si>
  <si>
    <t>Dark Procession, teleports</t>
  </si>
  <si>
    <t>?</t>
  </si>
  <si>
    <t>!</t>
  </si>
  <si>
    <t>Crota</t>
  </si>
  <si>
    <t>Relics, slam attack</t>
  </si>
  <si>
    <t>The Shattered Throne</t>
  </si>
  <si>
    <t>Vorgeth</t>
  </si>
  <si>
    <t>Petitioner's Burden</t>
  </si>
  <si>
    <t>Few
Far</t>
  </si>
  <si>
    <t>The Fourth Horseman
Mask of Bakris</t>
  </si>
  <si>
    <t>Dunk burden then dump supers and ammo</t>
  </si>
  <si>
    <t>Dul Incaru</t>
  </si>
  <si>
    <t>Finite Thought</t>
  </si>
  <si>
    <t>The Wardcliff Coil
Mask of Bakris</t>
  </si>
  <si>
    <t>The Wardcliff Coil
Thundercrash
Cuirass of the Falling Star</t>
  </si>
  <si>
    <t>Pick up relics then shoot Wardcliff</t>
  </si>
  <si>
    <t>Pit of Heresy</t>
  </si>
  <si>
    <t>Zulmak</t>
  </si>
  <si>
    <t>Heinous Rite</t>
  </si>
  <si>
    <t>Lumina / wave / rocket
Fusion grenades
Verity's Brow</t>
  </si>
  <si>
    <t>Rocket
Shadowshot - Moebius Quiver
Star-Eater Scales</t>
  </si>
  <si>
    <t>Dunk relic then dump rockets and throw nades</t>
  </si>
  <si>
    <t>Prophecy</t>
  </si>
  <si>
    <t>Phalanx
Echo</t>
  </si>
  <si>
    <t>Taken Spec</t>
  </si>
  <si>
    <t>The Fourth Horseman
Ember of Torches
Rain of Fire</t>
  </si>
  <si>
    <t>Parasite
Shadowshot - Moebius Quiver
Star-Eater Scales</t>
  </si>
  <si>
    <t>Dunk motes then dump ammo and supers</t>
  </si>
  <si>
    <t>Kell
Echo</t>
  </si>
  <si>
    <t>Lumina / GL / rocket
Golden Gun - Marksman
Celestial Nighthawk</t>
  </si>
  <si>
    <t>Izanagi's Burden / GL / rocket
Shadowshot - Deadfall Tether
Foetracer</t>
  </si>
  <si>
    <t>Land from teleport and dump supers and ammo</t>
  </si>
  <si>
    <t>Grasp of Avarice</t>
  </si>
  <si>
    <t>Phry'zhia</t>
  </si>
  <si>
    <t>Lumina / rapid-fire shotgun / rocket
Needlestorm
Necrotic Grip</t>
  </si>
  <si>
    <t>Malfeasance / rapid-fire shotgun / rocket
Shadowshot - Moebius Quiver
Star-Eater Scales &gt; Lucky Pants</t>
  </si>
  <si>
    <t>Gjallarhorn
Skip</t>
  </si>
  <si>
    <t>Wait for animation then dump supers and ammo</t>
  </si>
  <si>
    <t>Avarokk</t>
  </si>
  <si>
    <t>Double slug / Gjallarhorn
Shadowshot - Moebius Quiver
Star-Eater Scales</t>
  </si>
  <si>
    <t>Izanagi's Burden / GL / rocket
Golden Gun - Marksman
Celestial Nighthawk</t>
  </si>
  <si>
    <t>Gahlran</t>
  </si>
  <si>
    <t>Ceremonial Bather</t>
  </si>
  <si>
    <t>Unstable Essence</t>
  </si>
  <si>
    <t>Rapid-fire shotguns / Tractor
Ember of Torches
Rain of Fire</t>
  </si>
  <si>
    <t>Rapid-fire shotguns / Parasite
Golden Gun - Marksman
Celestial Nighthawk &gt; Foetracer</t>
  </si>
  <si>
    <t>Go to damage, then dump supers and ammo</t>
  </si>
  <si>
    <t>Ka'hok
Emonut
Uroa</t>
  </si>
  <si>
    <t>Legionary
Incendior
Centurion</t>
  </si>
  <si>
    <t>Eriana's Vow
Fusion grenades
Verity's Brow</t>
  </si>
  <si>
    <t>Tractor?
Gathering Storm?
Star-Eater Scales</t>
  </si>
  <si>
    <t>Caiatl</t>
  </si>
  <si>
    <t>Bells</t>
  </si>
  <si>
    <t>Few
Varies</t>
  </si>
  <si>
    <t>Lumina / slug / rocket
Needlestorm
Felwinter's Helm</t>
  </si>
  <si>
    <t>Double slug / Gjallarhorn
Well of Radiance
Rain of Fire</t>
  </si>
  <si>
    <t>Izanagi's Burden / slug / rocket
Golden Gun - Marksman
Celestial Nighthawk &gt; RDM</t>
  </si>
  <si>
    <t>Spire of the Watcher</t>
  </si>
  <si>
    <t>Akelous</t>
  </si>
  <si>
    <t>Twelve eyes (part of phase), backwards movement, projectile avoidance</t>
  </si>
  <si>
    <t>Double slug / Tractor
Golden Gun - Marksman
Celestial Nighthawk &gt; Foetracer</t>
  </si>
  <si>
    <t>Izanagi's Burden / sniper / rocket
Golden Gun - Marksman
Celestial Nighthawk &gt; RDM</t>
  </si>
  <si>
    <t>Break eyes using traces, then cast damage supers and dump ammo</t>
  </si>
  <si>
    <t>Persys</t>
  </si>
  <si>
    <t>Wyvern</t>
  </si>
  <si>
    <t>Fusion / Gjallarhorn
Shadowshot - Moebius Quiver
Star-Eater Scales</t>
  </si>
  <si>
    <t>Lumina / GL / rocket
Blade Barrage
SES &gt; RDM</t>
  </si>
  <si>
    <t>Witherhoard / GL / rocket
Blade Barrage
SES &gt; RDM</t>
  </si>
  <si>
    <t>Ghosts of the Deep</t>
  </si>
  <si>
    <t>Ecthar</t>
  </si>
  <si>
    <t>Lucent Hive</t>
  </si>
  <si>
    <t>Piercing Light</t>
  </si>
  <si>
    <t>Few
Medium</t>
  </si>
  <si>
    <t>Lumina / rapid-fire shotgun / rocket
Needlestorm
Lunafaction Boots</t>
  </si>
  <si>
    <t>Arbalest / rapid-fire shotgun / rocket
Shadowshot - Moebius Quiver
Star-Eater Scales</t>
  </si>
  <si>
    <t>Double slug / Gjallarhorn
Blade Barrage
SES &gt; RDM</t>
  </si>
  <si>
    <t>Break shield, then cast damage supers and dump ammo</t>
  </si>
  <si>
    <t>Simmumah</t>
  </si>
  <si>
    <t>Sniper / GL / Gjallarhorn
Well of Radiance
Rain of Fire</t>
  </si>
  <si>
    <t>Arbalest / rapid-fire sniper / rocket
Golden Gun - Marksman
Celestial Nighthawk</t>
  </si>
  <si>
    <t>Warlord's Ruin</t>
  </si>
  <si>
    <t>Rathil</t>
  </si>
  <si>
    <t>The Fourth Horseman / Bequest
Golden Gun - Marksman
Celestial Nighthawk</t>
  </si>
  <si>
    <t>The Navigator / shotgun &gt; Tractor
Grapple melees
Wormgod Caress</t>
  </si>
  <si>
    <t>Finish four totems then cast damage supers and dump ammo</t>
  </si>
  <si>
    <t>Locus</t>
  </si>
  <si>
    <t>Flame damage locations</t>
  </si>
  <si>
    <t>Navigator / Apex Predator
Golden Gun - Marksman
Celestial Nighthawk &gt; RDM</t>
  </si>
  <si>
    <t>Merciless / Apex Predator
Golden Gun - Marksman
Celestial Nighthawk &gt; RDM</t>
  </si>
  <si>
    <t>Shotgun / Gjallarhorn
Grapple melees
Wormgod Caress</t>
  </si>
  <si>
    <t>Hefnd</t>
  </si>
  <si>
    <r>
      <rPr>
        <sz val="10"/>
        <color theme="1"/>
        <rFont val="Arial"/>
      </rPr>
      <t xml:space="preserve"> Arc Soul
</t>
    </r>
    <r>
      <rPr>
        <i/>
        <sz val="10"/>
        <color theme="1"/>
        <rFont val="Arial"/>
      </rPr>
      <t>Base</t>
    </r>
  </si>
  <si>
    <t>firing starts</t>
  </si>
  <si>
    <r>
      <rPr>
        <sz val="10"/>
        <color theme="1"/>
        <rFont val="Arial"/>
      </rPr>
      <t xml:space="preserve"> Arc Soul
</t>
    </r>
    <r>
      <rPr>
        <i/>
        <sz val="10"/>
        <color theme="1"/>
        <rFont val="Arial"/>
      </rPr>
      <t>Base</t>
    </r>
  </si>
  <si>
    <t>bursts 1-66</t>
  </si>
  <si>
    <r>
      <rPr>
        <sz val="10"/>
        <color theme="1"/>
        <rFont val="Arial"/>
      </rPr>
      <t xml:space="preserve"> Arc Soul
</t>
    </r>
    <r>
      <rPr>
        <i/>
        <sz val="10"/>
        <color theme="1"/>
        <rFont val="Arial"/>
      </rPr>
      <t>Amplified</t>
    </r>
  </si>
  <si>
    <r>
      <rPr>
        <sz val="10"/>
        <color theme="1"/>
        <rFont val="Arial"/>
      </rPr>
      <t xml:space="preserve"> Arc Soul
</t>
    </r>
    <r>
      <rPr>
        <i/>
        <sz val="10"/>
        <color theme="1"/>
        <rFont val="Arial"/>
      </rPr>
      <t>Amplified</t>
    </r>
  </si>
  <si>
    <t>bursts 1-87</t>
  </si>
  <si>
    <r>
      <rPr>
        <sz val="10"/>
        <color theme="1"/>
        <rFont val="Arial"/>
      </rPr>
      <t xml:space="preserve">Adaptive frame fusion
</t>
    </r>
    <r>
      <rPr>
        <i/>
        <sz val="10"/>
        <color theme="1"/>
        <rFont val="Arial"/>
      </rPr>
      <t>Charge MW, Accelerated Coils, Surrounded (Dream Breaker), Rain of Fire</t>
    </r>
  </si>
  <si>
    <t>shot 1</t>
  </si>
  <si>
    <r>
      <rPr>
        <sz val="10"/>
        <color theme="1"/>
        <rFont val="Arial"/>
      </rPr>
      <t xml:space="preserve">Adaptive frame fusion
</t>
    </r>
    <r>
      <rPr>
        <i/>
        <sz val="10"/>
        <color theme="1"/>
        <rFont val="Arial"/>
      </rPr>
      <t>Charge MW, Accelerated Coils, Surrounded (Dream Breaker), Rain of Fire</t>
    </r>
  </si>
  <si>
    <t>shot 2</t>
  </si>
  <si>
    <r>
      <rPr>
        <sz val="10"/>
        <color theme="1"/>
        <rFont val="Arial"/>
      </rPr>
      <t xml:space="preserve">Adaptive frame fusion
</t>
    </r>
    <r>
      <rPr>
        <i/>
        <sz val="10"/>
        <color theme="1"/>
        <rFont val="Arial"/>
      </rPr>
      <t>Charge MW, Accelerated Coils, Surrounded (Dream Breaker), Rain of Fire</t>
    </r>
  </si>
  <si>
    <t>shot 3</t>
  </si>
  <si>
    <r>
      <rPr>
        <sz val="10"/>
        <color theme="1"/>
        <rFont val="Arial"/>
      </rPr>
      <t xml:space="preserve">Adaptive frame fusion
</t>
    </r>
    <r>
      <rPr>
        <i/>
        <sz val="10"/>
        <color theme="1"/>
        <rFont val="Arial"/>
      </rPr>
      <t>Charge MW, Accelerated Coils, Surrounded (Dream Breaker), Rain of Fire</t>
    </r>
  </si>
  <si>
    <t>shot 4</t>
  </si>
  <si>
    <r>
      <rPr>
        <sz val="10"/>
        <color theme="1"/>
        <rFont val="Arial"/>
      </rPr>
      <t xml:space="preserve">Adaptive frame fusion
</t>
    </r>
    <r>
      <rPr>
        <i/>
        <sz val="10"/>
        <color theme="1"/>
        <rFont val="Arial"/>
      </rPr>
      <t>Charge MW, Accelerated Coils, Surrounded (Dream Breaker), Rain of Fire</t>
    </r>
  </si>
  <si>
    <t>shot 5</t>
  </si>
  <si>
    <r>
      <rPr>
        <sz val="10"/>
        <color theme="1"/>
        <rFont val="Arial"/>
      </rPr>
      <t xml:space="preserve">Adaptive frame fusion
</t>
    </r>
    <r>
      <rPr>
        <i/>
        <sz val="10"/>
        <color theme="1"/>
        <rFont val="Arial"/>
      </rPr>
      <t>Charge MW, Accelerated Coils, Surrounded (Dream Breaker), Rain of Fire</t>
    </r>
  </si>
  <si>
    <t>shot 6 (RoF)</t>
  </si>
  <si>
    <r>
      <rPr>
        <sz val="10"/>
        <color theme="1"/>
        <rFont val="Arial"/>
      </rPr>
      <t xml:space="preserve">Adaptive frame fusion
</t>
    </r>
    <r>
      <rPr>
        <i/>
        <sz val="10"/>
        <color theme="1"/>
        <rFont val="Arial"/>
      </rPr>
      <t>Charge MW, Accelerated Coils, Surrounded (Dream Breaker), Rain of Fire</t>
    </r>
  </si>
  <si>
    <t>shot 7</t>
  </si>
  <si>
    <r>
      <rPr>
        <sz val="10"/>
        <color theme="1"/>
        <rFont val="Arial"/>
      </rPr>
      <t xml:space="preserve">Adaptive frame fusion
</t>
    </r>
    <r>
      <rPr>
        <i/>
        <sz val="10"/>
        <color theme="1"/>
        <rFont val="Arial"/>
      </rPr>
      <t>Charge MW, Accelerated Coils, Surrounded (Dream Breaker), Rain of Fire</t>
    </r>
  </si>
  <si>
    <t>shot 8</t>
  </si>
  <si>
    <r>
      <rPr>
        <sz val="10"/>
        <color theme="1"/>
        <rFont val="Arial"/>
      </rPr>
      <t xml:space="preserve">Adaptive frame fusion
</t>
    </r>
    <r>
      <rPr>
        <i/>
        <sz val="10"/>
        <color theme="1"/>
        <rFont val="Arial"/>
      </rPr>
      <t>Charge MW, Accelerated Coils, Surrounded (Dream Breaker), Rain of Fire</t>
    </r>
  </si>
  <si>
    <t>shot 9</t>
  </si>
  <si>
    <r>
      <rPr>
        <sz val="10"/>
        <color theme="1"/>
        <rFont val="Arial"/>
      </rPr>
      <t xml:space="preserve">Adaptive frame fusion
</t>
    </r>
    <r>
      <rPr>
        <i/>
        <sz val="10"/>
        <color theme="1"/>
        <rFont val="Arial"/>
      </rPr>
      <t>Charge MW, Accelerated Coils, Surrounded (Dream Breaker), Rain of Fire</t>
    </r>
  </si>
  <si>
    <t>shot 10</t>
  </si>
  <si>
    <r>
      <rPr>
        <sz val="10"/>
        <color theme="1"/>
        <rFont val="Arial"/>
      </rPr>
      <t xml:space="preserve">Adaptive frame fusion
</t>
    </r>
    <r>
      <rPr>
        <i/>
        <sz val="10"/>
        <color theme="1"/>
        <rFont val="Arial"/>
      </rPr>
      <t>Charge MW, Accelerated Coils, Surrounded (Dream Breaker), Rain of Fire</t>
    </r>
  </si>
  <si>
    <t>shot 11 (RoF)</t>
  </si>
  <si>
    <r>
      <rPr>
        <sz val="10"/>
        <color theme="1"/>
        <rFont val="Arial"/>
      </rPr>
      <t xml:space="preserve">Adaptive frame fusion
</t>
    </r>
    <r>
      <rPr>
        <i/>
        <sz val="10"/>
        <color theme="1"/>
        <rFont val="Arial"/>
      </rPr>
      <t>Charge MW, Accelerated Coils, Surrounded (Dream Breaker), Rain of Fire</t>
    </r>
  </si>
  <si>
    <t>shot 12</t>
  </si>
  <si>
    <r>
      <rPr>
        <sz val="10"/>
        <color theme="1"/>
        <rFont val="Arial"/>
      </rPr>
      <t xml:space="preserve">Adaptive frame fusion
</t>
    </r>
    <r>
      <rPr>
        <i/>
        <sz val="10"/>
        <color theme="1"/>
        <rFont val="Arial"/>
      </rPr>
      <t>Charge MW, Accelerated Coils, Surrounded (Dream Breaker), Rain of Fire</t>
    </r>
  </si>
  <si>
    <t>shot 13</t>
  </si>
  <si>
    <r>
      <rPr>
        <sz val="10"/>
        <color theme="1"/>
        <rFont val="Arial"/>
      </rPr>
      <t xml:space="preserve">Adaptive frame fusion
</t>
    </r>
    <r>
      <rPr>
        <i/>
        <sz val="10"/>
        <color theme="1"/>
        <rFont val="Arial"/>
      </rPr>
      <t>Charge MW, Accelerated Coils, Surrounded (Dream Breaker), Rain of Fire</t>
    </r>
  </si>
  <si>
    <t>shot 14</t>
  </si>
  <si>
    <r>
      <rPr>
        <sz val="10"/>
        <color theme="1"/>
        <rFont val="Arial"/>
      </rPr>
      <t xml:space="preserve">Adaptive frame fusion
</t>
    </r>
    <r>
      <rPr>
        <i/>
        <sz val="10"/>
        <color theme="1"/>
        <rFont val="Arial"/>
      </rPr>
      <t>Charge MW, Accelerated Coils, Surrounded (Dream Breaker), Rain of Fire</t>
    </r>
  </si>
  <si>
    <t>shot 15</t>
  </si>
  <si>
    <r>
      <rPr>
        <sz val="10"/>
        <color theme="1"/>
        <rFont val="Arial"/>
      </rPr>
      <t xml:space="preserve">Adaptive frame fusion
</t>
    </r>
    <r>
      <rPr>
        <i/>
        <sz val="10"/>
        <color theme="1"/>
        <rFont val="Arial"/>
      </rPr>
      <t>Charge MW, Accelerated Coils, Surrounded (Dream Breaker), Rain of Fire</t>
    </r>
  </si>
  <si>
    <t>shot 16 (RoF)</t>
  </si>
  <si>
    <r>
      <rPr>
        <sz val="10"/>
        <color theme="1"/>
        <rFont val="Arial"/>
      </rPr>
      <t xml:space="preserve">Adaptive frame fusion
</t>
    </r>
    <r>
      <rPr>
        <i/>
        <sz val="10"/>
        <color theme="1"/>
        <rFont val="Arial"/>
      </rPr>
      <t>Charge MW, Accelerated Coils, Surrounded (Dream Breaker), Rain of Fire</t>
    </r>
  </si>
  <si>
    <t>shot 17</t>
  </si>
  <si>
    <r>
      <rPr>
        <sz val="10"/>
        <color theme="1"/>
        <rFont val="Arial"/>
      </rPr>
      <t xml:space="preserve">Adaptive frame fusion
</t>
    </r>
    <r>
      <rPr>
        <i/>
        <sz val="10"/>
        <color theme="1"/>
        <rFont val="Arial"/>
      </rPr>
      <t>Charge MW, Accelerated Coils, Surrounded (Dream Breaker), Rain of Fire</t>
    </r>
  </si>
  <si>
    <t>shot 18</t>
  </si>
  <si>
    <r>
      <rPr>
        <sz val="10"/>
        <color theme="1"/>
        <rFont val="Arial"/>
      </rPr>
      <t xml:space="preserve">Adaptive frame fusion
</t>
    </r>
    <r>
      <rPr>
        <i/>
        <sz val="10"/>
        <color theme="1"/>
        <rFont val="Arial"/>
      </rPr>
      <t>Charge MW, Accelerated Coils, Surrounded (Dream Breaker), Rain of Fire</t>
    </r>
  </si>
  <si>
    <t>shot 19</t>
  </si>
  <si>
    <r>
      <rPr>
        <sz val="10"/>
        <color theme="1"/>
        <rFont val="Arial"/>
      </rPr>
      <t xml:space="preserve">Adaptive frame fusion
</t>
    </r>
    <r>
      <rPr>
        <i/>
        <sz val="10"/>
        <color theme="1"/>
        <rFont val="Arial"/>
      </rPr>
      <t>Charge MW, Accelerated Coils, Surrounded (Dream Breaker), Rain of Fire</t>
    </r>
  </si>
  <si>
    <t>shot 20</t>
  </si>
  <si>
    <r>
      <rPr>
        <sz val="10"/>
        <color theme="1"/>
        <rFont val="Arial"/>
      </rPr>
      <t xml:space="preserve">Adaptive frame fusion
</t>
    </r>
    <r>
      <rPr>
        <i/>
        <sz val="10"/>
        <color theme="1"/>
        <rFont val="Arial"/>
      </rPr>
      <t>Charge MW, Accelerated Coils, Surrounded (Dream Breaker), Rain of Fire</t>
    </r>
  </si>
  <si>
    <t>shot 21 (RoF)</t>
  </si>
  <si>
    <r>
      <rPr>
        <sz val="10"/>
        <color theme="1"/>
        <rFont val="Arial"/>
      </rPr>
      <t xml:space="preserve">Adaptive frame fusion
</t>
    </r>
    <r>
      <rPr>
        <i/>
        <sz val="10"/>
        <color theme="1"/>
        <rFont val="Arial"/>
      </rPr>
      <t>Charge MW, Accelerated Coils, Surrounded (Dream Breaker), Rain of Fire</t>
    </r>
  </si>
  <si>
    <t>shot 22</t>
  </si>
  <si>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</si>
  <si>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</si>
  <si>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</si>
  <si>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</si>
  <si>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</si>
  <si>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</si>
  <si>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t>shot 6</t>
  </si>
  <si>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</si>
  <si>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</si>
  <si>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</si>
  <si>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</si>
  <si>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</si>
  <si>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t>shot 11</t>
  </si>
  <si>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</si>
  <si>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</si>
  <si>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</si>
  <si>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</si>
  <si>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</si>
  <si>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t>shot 16</t>
  </si>
  <si>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</si>
  <si>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</si>
  <si>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</si>
  <si>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</si>
  <si>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Ionized Battery, e. Rewind Rounds + Controlled Burst (Techeun Force)</t>
    </r>
  </si>
  <si>
    <t>shot 21</t>
  </si>
  <si>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</si>
  <si>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</si>
  <si>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</si>
  <si>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</si>
  <si>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</si>
  <si>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</si>
  <si>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</si>
  <si>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</si>
  <si>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</si>
  <si>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</si>
  <si>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</si>
  <si>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</si>
  <si>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</si>
  <si>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</si>
  <si>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</si>
  <si>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</si>
  <si>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</si>
  <si>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</si>
  <si>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</si>
  <si>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frame heavy GL
</t>
    </r>
    <r>
      <rPr>
        <i/>
        <sz val="10"/>
        <color theme="1"/>
        <rFont val="Arial"/>
      </rPr>
      <t>Explosive Light (Regnant), Rain of Fire</t>
    </r>
  </si>
  <si>
    <r>
      <rPr>
        <sz val="10"/>
        <color theme="1"/>
        <rFont val="Arial"/>
      </rPr>
      <t xml:space="preserve">Adaptive rocket launcher
</t>
    </r>
    <r>
      <rPr>
        <i/>
        <sz val="10"/>
        <color theme="1"/>
        <rFont val="Arial"/>
      </rPr>
      <t>BnS, Pack Hunter, Demolitionist with manual reloads</t>
    </r>
  </si>
  <si>
    <t>rocket 1</t>
  </si>
  <si>
    <r>
      <rPr>
        <sz val="10"/>
        <color theme="1"/>
        <rFont val="Arial"/>
      </rPr>
      <t xml:space="preserve">Adaptive rocket launcher
</t>
    </r>
    <r>
      <rPr>
        <i/>
        <sz val="10"/>
        <color theme="1"/>
        <rFont val="Arial"/>
      </rPr>
      <t>BnS, Pack Hunter, Demolitionist with manual reloads</t>
    </r>
  </si>
  <si>
    <t>rocket 2</t>
  </si>
  <si>
    <r>
      <rPr>
        <sz val="10"/>
        <color theme="1"/>
        <rFont val="Arial"/>
      </rPr>
      <t xml:space="preserve">Adaptive rocket launcher
</t>
    </r>
    <r>
      <rPr>
        <i/>
        <sz val="10"/>
        <color theme="1"/>
        <rFont val="Arial"/>
      </rPr>
      <t>BnS, Pack Hunter, Demolitionist with manual reloads</t>
    </r>
  </si>
  <si>
    <t>rocket 3</t>
  </si>
  <si>
    <r>
      <rPr>
        <sz val="10"/>
        <color theme="1"/>
        <rFont val="Arial"/>
      </rPr>
      <t xml:space="preserve">Adaptive rocket launcher
</t>
    </r>
    <r>
      <rPr>
        <i/>
        <sz val="10"/>
        <color theme="1"/>
        <rFont val="Arial"/>
      </rPr>
      <t>BnS, Pack Hunter, Demolitionist with manual reloads</t>
    </r>
  </si>
  <si>
    <t>rocket 4</t>
  </si>
  <si>
    <r>
      <rPr>
        <sz val="10"/>
        <color theme="1"/>
        <rFont val="Arial"/>
      </rPr>
      <t xml:space="preserve">Adaptive rocket launcher
</t>
    </r>
    <r>
      <rPr>
        <i/>
        <sz val="10"/>
        <color theme="1"/>
        <rFont val="Arial"/>
      </rPr>
      <t>BnS, Pack Hunter, Demolitionist with manual reloads</t>
    </r>
  </si>
  <si>
    <t>rocket 5</t>
  </si>
  <si>
    <r>
      <rPr>
        <sz val="10"/>
        <color theme="1"/>
        <rFont val="Arial"/>
      </rPr>
      <t xml:space="preserve">Adaptive rocket launcher
</t>
    </r>
    <r>
      <rPr>
        <i/>
        <sz val="10"/>
        <color theme="1"/>
        <rFont val="Arial"/>
      </rPr>
      <t>BnS, Pack Hunter, Demolitionist with manual reloads</t>
    </r>
  </si>
  <si>
    <t>rocket 6</t>
  </si>
  <si>
    <r>
      <rPr>
        <sz val="10"/>
        <color theme="1"/>
        <rFont val="Arial"/>
      </rPr>
      <t xml:space="preserve">Adaptive rocket launcher
</t>
    </r>
    <r>
      <rPr>
        <i/>
        <sz val="10"/>
        <color theme="1"/>
        <rFont val="Arial"/>
      </rPr>
      <t>BnS, Pack Hunter, Demolitionist with manual reloads</t>
    </r>
  </si>
  <si>
    <t>rocket 7</t>
  </si>
  <si>
    <r>
      <rPr>
        <sz val="10"/>
        <color theme="1"/>
        <rFont val="Arial"/>
      </rPr>
      <t xml:space="preserve">Adaptive rocket launcher
</t>
    </r>
    <r>
      <rPr>
        <i/>
        <sz val="10"/>
        <color theme="1"/>
        <rFont val="Arial"/>
      </rPr>
      <t>BnS, Pack Hunter, Demolitionist with manual reloads</t>
    </r>
  </si>
  <si>
    <t>rocket 8</t>
  </si>
  <si>
    <r>
      <rPr>
        <sz val="10"/>
        <color theme="1"/>
        <rFont val="Arial"/>
      </rPr>
      <t xml:space="preserve">Adaptive rocket launcher
</t>
    </r>
    <r>
      <rPr>
        <i/>
        <sz val="10"/>
        <color theme="1"/>
        <rFont val="Arial"/>
      </rPr>
      <t>BnS, Pack Hunter, Demolitionist with manual reloads</t>
    </r>
  </si>
  <si>
    <t>rocket 9</t>
  </si>
  <si>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</si>
  <si>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</si>
  <si>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</si>
  <si>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</si>
  <si>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</si>
  <si>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</si>
  <si>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</si>
  <si>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</si>
  <si>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BnS, Pack Hunter, Reconstruction start, manual reloads, Lunafaction Boots, 3x Loader</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</si>
  <si>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</si>
  <si>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</si>
  <si>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</si>
  <si>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</si>
  <si>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</si>
  <si>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</si>
  <si>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</si>
  <si>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</si>
  <si>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Adaptive rocket launcher
</t>
    </r>
    <r>
      <rPr>
        <i/>
        <sz val="10"/>
        <color theme="1"/>
        <rFont val="Arial"/>
      </rPr>
      <t>BnS, Pack Hunter, Reconstruction start, Radiant Dance Machines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</si>
  <si>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</si>
  <si>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</si>
  <si>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</si>
  <si>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</si>
  <si>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</si>
  <si>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</si>
  <si>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</si>
  <si>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</si>
  <si>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Adaptive rocket launcher
</t>
    </r>
    <r>
      <rPr>
        <i/>
        <sz val="10"/>
        <color theme="1"/>
        <rFont val="Arial"/>
      </rPr>
      <t>BnS, Pack Hunter, Reconstruction start, RoF with manual reloads</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</si>
  <si>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</si>
  <si>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</si>
  <si>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</si>
  <si>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</si>
  <si>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</si>
  <si>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</si>
  <si>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</si>
  <si>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</si>
  <si>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</si>
  <si>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Adaptive rocket launcher
</t>
    </r>
    <r>
      <rPr>
        <i/>
        <sz val="10"/>
        <color theme="1"/>
        <rFont val="Arial"/>
      </rPr>
      <t>Field Prep + Clown Cartridge, Pack Hunter, manual reloads</t>
    </r>
    <r>
      <rPr>
        <sz val="10"/>
        <color theme="1"/>
        <rFont val="Arial"/>
      </rPr>
      <t xml:space="preserve">, </t>
    </r>
    <r>
      <rPr>
        <i/>
        <sz val="10"/>
        <color theme="1"/>
        <rFont val="Arial"/>
      </rPr>
      <t>Lunafaction Boots, 3x Loader</t>
    </r>
  </si>
  <si>
    <t>rocket 10</t>
  </si>
  <si>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</si>
  <si>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</si>
  <si>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</si>
  <si>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</si>
  <si>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</si>
  <si>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</si>
  <si>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</si>
  <si>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</si>
  <si>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</si>
  <si>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Adaptive rocket launcher
</t>
    </r>
    <r>
      <rPr>
        <i/>
        <sz val="10"/>
        <color theme="1"/>
        <rFont val="Arial"/>
      </rPr>
      <t>Field Prep + Clown Cartridge, Pack Hunter, Radiant Dance Machines</t>
    </r>
  </si>
  <si>
    <r>
      <rPr>
        <sz val="10"/>
        <color theme="1"/>
        <rFont val="Arial"/>
      </rPr>
      <t xml:space="preserve">Ager's Scepter
</t>
    </r>
    <r>
      <rPr>
        <i/>
        <sz val="10"/>
        <color theme="1"/>
        <rFont val="Arial"/>
      </rPr>
      <t>Will Given Form, Cenotaph Mask, fired until mag hits 0</t>
    </r>
  </si>
  <si>
    <r>
      <rPr>
        <sz val="10"/>
        <color theme="1"/>
        <rFont val="Arial"/>
      </rPr>
      <t xml:space="preserve">Ager's Scepter
</t>
    </r>
    <r>
      <rPr>
        <i/>
        <sz val="10"/>
        <color theme="1"/>
        <rFont val="Arial"/>
      </rPr>
      <t>Will Given Form, Cenotaph Mask, fired until mag hits 0</t>
    </r>
  </si>
  <si>
    <t>firing ends</t>
  </si>
  <si>
    <r>
      <rPr>
        <sz val="10"/>
        <color theme="1"/>
        <rFont val="Arial"/>
      </rPr>
      <t xml:space="preserve">Aggressive frame linear fusion rifle
</t>
    </r>
    <r>
      <rPr>
        <i/>
        <sz val="10"/>
        <color theme="1"/>
        <rFont val="Arial"/>
      </rPr>
      <t>e. Rewind Rounds + e. Surrounded (Briar's Contempt), Rain of Fire</t>
    </r>
  </si>
  <si>
    <t>shot 1 ends</t>
  </si>
  <si>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</si>
  <si>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</si>
  <si>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</si>
  <si>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</si>
  <si>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</si>
  <si>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</si>
  <si>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</si>
  <si>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</si>
  <si>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</si>
  <si>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</si>
  <si>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</si>
  <si>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</si>
  <si>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</si>
  <si>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t>shot 14 (RoF)</t>
  </si>
  <si>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</si>
  <si>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</si>
  <si>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</si>
  <si>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</si>
  <si>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</si>
  <si>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</si>
  <si>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</si>
  <si>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</si>
  <si>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r>
      <rPr>
        <sz val="10"/>
        <color theme="1"/>
        <rFont val="Arial"/>
      </rPr>
      <t xml:space="preserve">Aggressive frame linear fusion rifle
</t>
    </r>
    <r>
      <rPr>
        <i/>
        <sz val="10"/>
        <color theme="1"/>
        <rFont val="Arial"/>
      </rPr>
      <t>e. Rewind Rounds + e. Surrounded (Briar's Contempt), Rain of Fire</t>
    </r>
  </si>
  <si>
    <t>shot 23</t>
  </si>
  <si>
    <r>
      <rPr>
        <sz val="10"/>
        <color theme="1"/>
        <rFont val="Arial"/>
      </rPr>
      <t xml:space="preserve">Aggressive frame shotgun swapping
</t>
    </r>
    <r>
      <rPr>
        <i/>
        <sz val="10"/>
        <color theme="1"/>
        <rFont val="Arial"/>
      </rPr>
      <t>e. Surrounded (Imperial Decree), Surrounded (A Sudden Death), Rain of Fire, body</t>
    </r>
  </si>
  <si>
    <t>cycle 1</t>
  </si>
  <si>
    <r>
      <rPr>
        <sz val="10"/>
        <color theme="1"/>
        <rFont val="Arial"/>
      </rPr>
      <t xml:space="preserve">Aggressive frame shotgun swapping
</t>
    </r>
    <r>
      <rPr>
        <i/>
        <sz val="10"/>
        <color theme="1"/>
        <rFont val="Arial"/>
      </rPr>
      <t>e. Surrounded (Imperial Decree), Surrounded (A Sudden Death), Rain of Fire, body</t>
    </r>
  </si>
  <si>
    <t>cycle 2</t>
  </si>
  <si>
    <r>
      <rPr>
        <sz val="10"/>
        <color theme="1"/>
        <rFont val="Arial"/>
      </rPr>
      <t xml:space="preserve">Aggressive frame shotgun swapping
</t>
    </r>
    <r>
      <rPr>
        <i/>
        <sz val="10"/>
        <color theme="1"/>
        <rFont val="Arial"/>
      </rPr>
      <t>e. Surrounded (Imperial Decree), Surrounded (A Sudden Death), Rain of Fire, body</t>
    </r>
  </si>
  <si>
    <t>cycle 3</t>
  </si>
  <si>
    <r>
      <rPr>
        <sz val="10"/>
        <color theme="1"/>
        <rFont val="Arial"/>
      </rPr>
      <t xml:space="preserve">Aggressive frame shotgun swapping
</t>
    </r>
    <r>
      <rPr>
        <i/>
        <sz val="10"/>
        <color theme="1"/>
        <rFont val="Arial"/>
      </rPr>
      <t>e. Surrounded (Imperial Decree), Surrounded (A Sudden Death), Rain of Fire, body</t>
    </r>
  </si>
  <si>
    <t>cycle 4</t>
  </si>
  <si>
    <r>
      <rPr>
        <sz val="10"/>
        <color theme="1"/>
        <rFont val="Arial"/>
      </rPr>
      <t xml:space="preserve">Aggressive frame shotgun swapping
</t>
    </r>
    <r>
      <rPr>
        <i/>
        <sz val="10"/>
        <color theme="1"/>
        <rFont val="Arial"/>
      </rPr>
      <t>e. Surrounded (Imperial Decree), Surrounded (A Sudden Death), Rain of Fire, body</t>
    </r>
  </si>
  <si>
    <t>cycle 5 (RoF)</t>
  </si>
  <si>
    <r>
      <rPr>
        <sz val="10"/>
        <color theme="1"/>
        <rFont val="Arial"/>
      </rPr>
      <t xml:space="preserve">Aggressive frame shotgun swapping
</t>
    </r>
    <r>
      <rPr>
        <i/>
        <sz val="10"/>
        <color theme="1"/>
        <rFont val="Arial"/>
      </rPr>
      <t>e. Surrounded (Imperial Decree), Surrounded (A Sudden Death), Rain of Fire, body</t>
    </r>
  </si>
  <si>
    <t>cycle 6</t>
  </si>
  <si>
    <r>
      <rPr>
        <sz val="10"/>
        <color theme="1"/>
        <rFont val="Arial"/>
      </rPr>
      <t xml:space="preserve">Aggressive frame shotgun swapping
</t>
    </r>
    <r>
      <rPr>
        <i/>
        <sz val="10"/>
        <color theme="1"/>
        <rFont val="Arial"/>
      </rPr>
      <t>e. Surrounded (Imperial Decree), Surrounded (A Sudden Death), Rain of Fire, body</t>
    </r>
  </si>
  <si>
    <t>cycle 7</t>
  </si>
  <si>
    <r>
      <rPr>
        <sz val="10"/>
        <color theme="1"/>
        <rFont val="Arial"/>
      </rPr>
      <t xml:space="preserve">Aggressive frame shotgun swapping
</t>
    </r>
    <r>
      <rPr>
        <i/>
        <sz val="10"/>
        <color theme="1"/>
        <rFont val="Arial"/>
      </rPr>
      <t>e. Surrounded (Imperial Decree), Surrounded (A Sudden Death), Rain of Fire, body</t>
    </r>
  </si>
  <si>
    <t>cycle 8</t>
  </si>
  <si>
    <r>
      <rPr>
        <sz val="10"/>
        <color theme="1"/>
        <rFont val="Arial"/>
      </rPr>
      <t xml:space="preserve">Aggressive frame shotgun swapping
</t>
    </r>
    <r>
      <rPr>
        <i/>
        <sz val="10"/>
        <color theme="1"/>
        <rFont val="Arial"/>
      </rPr>
      <t>e. Surrounded (Imperial Decree), Surrounded (A Sudden Death), Rain of Fire, body</t>
    </r>
  </si>
  <si>
    <t>cycle 9 (RoF)</t>
  </si>
  <si>
    <r>
      <rPr>
        <sz val="10"/>
        <color theme="1"/>
        <rFont val="Arial"/>
      </rPr>
      <t xml:space="preserve">Aggressive frame shotgun swapping
</t>
    </r>
    <r>
      <rPr>
        <i/>
        <sz val="10"/>
        <color theme="1"/>
        <rFont val="Arial"/>
      </rPr>
      <t>e. Surrounded (Imperial Decree), Surrounded (A Sudden Death), Rain of Fire, body</t>
    </r>
  </si>
  <si>
    <t>cycle 10</t>
  </si>
  <si>
    <r>
      <rPr>
        <sz val="10"/>
        <color theme="1"/>
        <rFont val="Arial"/>
      </rPr>
      <t xml:space="preserve">Aggressive frame shotgun swapping
</t>
    </r>
    <r>
      <rPr>
        <i/>
        <sz val="10"/>
        <color theme="1"/>
        <rFont val="Arial"/>
      </rPr>
      <t>e. Surrounded (Imperial Decree), Surrounded (A Sudden Death), Rain of Fire, body</t>
    </r>
  </si>
  <si>
    <t>cycle 11</t>
  </si>
  <si>
    <r>
      <rPr>
        <sz val="10"/>
        <color theme="1"/>
        <rFont val="Arial"/>
      </rPr>
      <t xml:space="preserve">Aggressive frame shotgun swapping
</t>
    </r>
    <r>
      <rPr>
        <i/>
        <sz val="10"/>
        <color theme="1"/>
        <rFont val="Arial"/>
      </rPr>
      <t>e. Surrounded (Imperial Decree), Surrounded (A Sudden Death), Rain of Fire, body</t>
    </r>
  </si>
  <si>
    <t>cycle 12</t>
  </si>
  <si>
    <r>
      <rPr>
        <sz val="10"/>
        <color theme="1"/>
        <rFont val="Arial"/>
      </rPr>
      <t xml:space="preserve">Aggressive frame shotgun swapping
</t>
    </r>
    <r>
      <rPr>
        <i/>
        <sz val="10"/>
        <color theme="1"/>
        <rFont val="Arial"/>
      </rPr>
      <t>e. Surrounded (Imperial Decree), Surrounded (A Sudden Death), Rain of Fire, body</t>
    </r>
  </si>
  <si>
    <t>cycle 13 (RoF)</t>
  </si>
  <si>
    <r>
      <rPr>
        <sz val="10"/>
        <color theme="1"/>
        <rFont val="Arial"/>
      </rPr>
      <t xml:space="preserve">Aggressive frame shotgun swapping
</t>
    </r>
    <r>
      <rPr>
        <i/>
        <sz val="10"/>
        <color theme="1"/>
        <rFont val="Arial"/>
      </rPr>
      <t>e. Surrounded (Imperial Decree), Surrounded (A Sudden Death), Rain of Fire, body</t>
    </r>
  </si>
  <si>
    <t>cycle 14</t>
  </si>
  <si>
    <r>
      <rPr>
        <sz val="10"/>
        <color theme="1"/>
        <rFont val="Arial"/>
      </rPr>
      <t xml:space="preserve">Aggressive frame shotgun swapping
</t>
    </r>
    <r>
      <rPr>
        <i/>
        <sz val="10"/>
        <color theme="1"/>
        <rFont val="Arial"/>
      </rPr>
      <t>e. Surrounded (Imperial Decree), Surrounded (A Sudden Death), Rain of Fire, body</t>
    </r>
  </si>
  <si>
    <t>cycle 15</t>
  </si>
  <si>
    <r>
      <rPr>
        <sz val="10"/>
        <color theme="1"/>
        <rFont val="Arial"/>
      </rPr>
      <t xml:space="preserve">Aggressive frame shotgun swapping
</t>
    </r>
    <r>
      <rPr>
        <i/>
        <sz val="10"/>
        <color theme="1"/>
        <rFont val="Arial"/>
      </rPr>
      <t>e. Surrounded (Imperial Decree), Surrounded (A Sudden Death), Rain of Fire, body</t>
    </r>
  </si>
  <si>
    <t>cycle 16</t>
  </si>
  <si>
    <r>
      <rPr>
        <sz val="10"/>
        <color theme="1"/>
        <rFont val="Arial"/>
      </rPr>
      <t xml:space="preserve">Aggressive frame shotgun swapping
</t>
    </r>
    <r>
      <rPr>
        <i/>
        <sz val="10"/>
        <color theme="1"/>
        <rFont val="Arial"/>
      </rPr>
      <t>e. Surrounded (Imperial Decree), Surrounded (A Sudden Death), Rain of Fire, body</t>
    </r>
  </si>
  <si>
    <t>cycle 17 (RoF)</t>
  </si>
  <si>
    <r>
      <rPr>
        <sz val="10"/>
        <color theme="1"/>
        <rFont val="Arial"/>
      </rPr>
      <t xml:space="preserve">Aggressive frame shotgun swapping
</t>
    </r>
    <r>
      <rPr>
        <i/>
        <sz val="10"/>
        <color theme="1"/>
        <rFont val="Arial"/>
      </rPr>
      <t>e. Surrounded (Imperial Decree), Surrounded (A Sudden Death), Rain of Fire, body</t>
    </r>
  </si>
  <si>
    <t>cycle 18</t>
  </si>
  <si>
    <r>
      <rPr>
        <sz val="10"/>
        <color theme="1"/>
        <rFont val="Arial"/>
      </rPr>
      <t xml:space="preserve">Aggressive frame shotgun swapping
</t>
    </r>
    <r>
      <rPr>
        <i/>
        <sz val="10"/>
        <color theme="1"/>
        <rFont val="Arial"/>
      </rPr>
      <t>e. Surrounded (Imperial Decree), Surrounded (A Sudden Death), Rain of Fire, body</t>
    </r>
  </si>
  <si>
    <t>cycle 19</t>
  </si>
  <si>
    <r>
      <rPr>
        <sz val="10"/>
        <color theme="1"/>
        <rFont val="Arial"/>
      </rPr>
      <t xml:space="preserve">Aggressive frame shotgun swapping
</t>
    </r>
    <r>
      <rPr>
        <i/>
        <sz val="10"/>
        <color theme="1"/>
        <rFont val="Arial"/>
      </rPr>
      <t>e. Surrounded (Imperial Decree), Surrounded (A Sudden Death), Rain of Fire, body</t>
    </r>
  </si>
  <si>
    <t>cycle 20</t>
  </si>
  <si>
    <r>
      <rPr>
        <sz val="10"/>
        <color theme="1"/>
        <rFont val="Arial"/>
      </rPr>
      <t xml:space="preserve">Aggressive frame shotgun swapping
</t>
    </r>
    <r>
      <rPr>
        <i/>
        <sz val="10"/>
        <color theme="1"/>
        <rFont val="Arial"/>
      </rPr>
      <t>e. Surrounded (Imperial Decree), Surrounded (A Sudden Death), Rain of Fire, body</t>
    </r>
  </si>
  <si>
    <t>cycle 21 (RoF)</t>
  </si>
  <si>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</si>
  <si>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</si>
  <si>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</si>
  <si>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</si>
  <si>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</si>
  <si>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</si>
  <si>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</si>
  <si>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</si>
  <si>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</si>
  <si>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</si>
  <si>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</si>
  <si>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</si>
  <si>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</si>
  <si>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</si>
  <si>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</si>
  <si>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</si>
  <si>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</si>
  <si>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</si>
  <si>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</si>
  <si>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</si>
  <si>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</si>
  <si>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</si>
  <si>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</si>
  <si>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Aggressive frame sniper
</t>
    </r>
    <r>
      <rPr>
        <i/>
        <sz val="10"/>
        <color theme="1"/>
        <rFont val="Arial"/>
      </rPr>
      <t>Reconstruction + Firing Line (Succession), Rain of Fire</t>
    </r>
  </si>
  <si>
    <t>shot 24</t>
  </si>
  <si>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</si>
  <si>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</si>
  <si>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</si>
  <si>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</si>
  <si>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</si>
  <si>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</si>
  <si>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</si>
  <si>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</si>
  <si>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</si>
  <si>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</si>
  <si>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</si>
  <si>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</si>
  <si>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</si>
  <si>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</si>
  <si>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Bipod,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</si>
  <si>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</si>
  <si>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</si>
  <si>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</si>
  <si>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</si>
  <si>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</si>
  <si>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</si>
  <si>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</si>
  <si>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</si>
  <si>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</si>
  <si>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Aggressive rocket launcher
</t>
    </r>
    <r>
      <rPr>
        <i/>
        <sz val="10"/>
        <color theme="1"/>
        <rFont val="Arial"/>
      </rPr>
      <t>BnS, Pack Hunter, Envious Assassin x15 + Restoration Ritual start, Ballidorse Wrathweavers, Radiant Dance Machines</t>
    </r>
  </si>
  <si>
    <r>
      <rPr>
        <sz val="10"/>
        <color theme="1"/>
        <rFont val="Arial"/>
      </rPr>
      <t xml:space="preserve">Anarchy
</t>
    </r>
    <r>
      <rPr>
        <i/>
        <sz val="10"/>
        <color theme="1"/>
        <rFont val="Arial"/>
      </rPr>
      <t>two traps</t>
    </r>
  </si>
  <si>
    <t>ticks start</t>
  </si>
  <si>
    <r>
      <rPr>
        <sz val="10"/>
        <color theme="1"/>
        <rFont val="Arial"/>
      </rPr>
      <t xml:space="preserve">Anarchy
</t>
    </r>
    <r>
      <rPr>
        <i/>
        <sz val="10"/>
        <color theme="1"/>
        <rFont val="Arial"/>
      </rPr>
      <t>two traps</t>
    </r>
  </si>
  <si>
    <t>explosion 1</t>
  </si>
  <si>
    <r>
      <rPr>
        <sz val="10"/>
        <color theme="1"/>
        <rFont val="Arial"/>
      </rPr>
      <t xml:space="preserve">Anarchy
</t>
    </r>
    <r>
      <rPr>
        <i/>
        <sz val="10"/>
        <color theme="1"/>
        <rFont val="Arial"/>
      </rPr>
      <t>two traps</t>
    </r>
  </si>
  <si>
    <t>explosion 2</t>
  </si>
  <si>
    <r>
      <rPr>
        <sz val="10"/>
        <color theme="1"/>
        <rFont val="Arial"/>
      </rPr>
      <t xml:space="preserve">Anarchy
</t>
    </r>
    <r>
      <rPr>
        <i/>
        <sz val="10"/>
        <color theme="1"/>
        <rFont val="Arial"/>
      </rPr>
      <t>two traps</t>
    </r>
  </si>
  <si>
    <t>explosion 3</t>
  </si>
  <si>
    <r>
      <rPr>
        <sz val="10"/>
        <color theme="1"/>
        <rFont val="Arial"/>
      </rPr>
      <t xml:space="preserve">Anarchy
</t>
    </r>
    <r>
      <rPr>
        <i/>
        <sz val="10"/>
        <color theme="1"/>
        <rFont val="Arial"/>
      </rPr>
      <t>two traps</t>
    </r>
  </si>
  <si>
    <t>explosion 4</t>
  </si>
  <si>
    <r>
      <rPr>
        <sz val="10"/>
        <color theme="1"/>
        <rFont val="Arial"/>
      </rPr>
      <t xml:space="preserve">Anarchy
</t>
    </r>
    <r>
      <rPr>
        <i/>
        <sz val="10"/>
        <color theme="1"/>
        <rFont val="Arial"/>
      </rPr>
      <t>two traps</t>
    </r>
  </si>
  <si>
    <t>explosion 5</t>
  </si>
  <si>
    <r>
      <rPr>
        <sz val="10"/>
        <color theme="1"/>
        <rFont val="Arial"/>
      </rPr>
      <t xml:space="preserve">Anarchy
</t>
    </r>
    <r>
      <rPr>
        <i/>
        <sz val="10"/>
        <color theme="1"/>
        <rFont val="Arial"/>
      </rPr>
      <t>two traps</t>
    </r>
  </si>
  <si>
    <t>explosion 6</t>
  </si>
  <si>
    <r>
      <rPr>
        <sz val="10"/>
        <color theme="1"/>
        <rFont val="Arial"/>
      </rPr>
      <t xml:space="preserve">Anarchy
</t>
    </r>
    <r>
      <rPr>
        <i/>
        <sz val="10"/>
        <color theme="1"/>
        <rFont val="Arial"/>
      </rPr>
      <t>two traps</t>
    </r>
  </si>
  <si>
    <t>explosion 7</t>
  </si>
  <si>
    <r>
      <rPr>
        <sz val="10"/>
        <color theme="1"/>
        <rFont val="Arial"/>
      </rPr>
      <t xml:space="preserve">Anarchy
</t>
    </r>
    <r>
      <rPr>
        <i/>
        <sz val="10"/>
        <color theme="1"/>
        <rFont val="Arial"/>
      </rPr>
      <t>two traps</t>
    </r>
  </si>
  <si>
    <t>explosion 8</t>
  </si>
  <si>
    <r>
      <rPr>
        <sz val="10"/>
        <color theme="1"/>
        <rFont val="Arial"/>
      </rPr>
      <t xml:space="preserve">Anarchy
</t>
    </r>
    <r>
      <rPr>
        <i/>
        <sz val="10"/>
        <color theme="1"/>
        <rFont val="Arial"/>
      </rPr>
      <t>two traps</t>
    </r>
  </si>
  <si>
    <t>explosion 9</t>
  </si>
  <si>
    <r>
      <rPr>
        <sz val="10"/>
        <color theme="1"/>
        <rFont val="Arial"/>
      </rPr>
      <t xml:space="preserve">Anarchy
</t>
    </r>
    <r>
      <rPr>
        <i/>
        <sz val="10"/>
        <color theme="1"/>
        <rFont val="Arial"/>
      </rPr>
      <t>two traps</t>
    </r>
  </si>
  <si>
    <t>explosion 10</t>
  </si>
  <si>
    <r>
      <rPr>
        <sz val="10"/>
        <color theme="1"/>
        <rFont val="Arial"/>
      </rPr>
      <t xml:space="preserve">Bequest
</t>
    </r>
    <r>
      <rPr>
        <i/>
        <sz val="10"/>
        <color theme="1"/>
        <rFont val="Arial"/>
      </rPr>
      <t>1H6L combo, Lucent Blades x3, Jagged Edge w/ e. Surrounded</t>
    </r>
  </si>
  <si>
    <t>combo 1</t>
  </si>
  <si>
    <r>
      <rPr>
        <sz val="10"/>
        <color theme="1"/>
        <rFont val="Arial"/>
      </rPr>
      <t xml:space="preserve">Bequest
</t>
    </r>
    <r>
      <rPr>
        <i/>
        <sz val="10"/>
        <color theme="1"/>
        <rFont val="Arial"/>
      </rPr>
      <t>1H6L combo, Lucent Blades x3, Jagged Edge w/ e. Surrounded</t>
    </r>
  </si>
  <si>
    <t>combo 2</t>
  </si>
  <si>
    <r>
      <rPr>
        <sz val="10"/>
        <color theme="1"/>
        <rFont val="Arial"/>
      </rPr>
      <t xml:space="preserve">Bequest
</t>
    </r>
    <r>
      <rPr>
        <i/>
        <sz val="10"/>
        <color theme="1"/>
        <rFont val="Arial"/>
      </rPr>
      <t>1H6L combo, Lucent Blades x3, Jagged Edge w/ e. Surrounded</t>
    </r>
  </si>
  <si>
    <t>combo 3</t>
  </si>
  <si>
    <r>
      <rPr>
        <sz val="10"/>
        <color theme="1"/>
        <rFont val="Arial"/>
      </rPr>
      <t xml:space="preserve">Bequest
</t>
    </r>
    <r>
      <rPr>
        <i/>
        <sz val="10"/>
        <color theme="1"/>
        <rFont val="Arial"/>
      </rPr>
      <t>1H6L combo, Lucent Blades x3, Jagged Edge w/ e. Surrounded</t>
    </r>
  </si>
  <si>
    <t>combo 4</t>
  </si>
  <si>
    <r>
      <rPr>
        <sz val="10"/>
        <color theme="1"/>
        <rFont val="Arial"/>
      </rPr>
      <t xml:space="preserve">Bequest
</t>
    </r>
    <r>
      <rPr>
        <i/>
        <sz val="10"/>
        <color theme="1"/>
        <rFont val="Arial"/>
      </rPr>
      <t>1H6L combo, Lucent Blades x3, Jagged Edge w/ e. Surrounded</t>
    </r>
  </si>
  <si>
    <t>combo 5</t>
  </si>
  <si>
    <r>
      <rPr>
        <sz val="10"/>
        <color theme="1"/>
        <rFont val="Arial"/>
      </rPr>
      <t xml:space="preserve">Bequest
</t>
    </r>
    <r>
      <rPr>
        <i/>
        <sz val="10"/>
        <color theme="1"/>
        <rFont val="Arial"/>
      </rPr>
      <t>1H6L combo, Lucent Blades x3, Jagged Edge w/ e. Surrounded</t>
    </r>
  </si>
  <si>
    <t>combo 6</t>
  </si>
  <si>
    <r>
      <rPr>
        <sz val="10"/>
        <color theme="1"/>
        <rFont val="Arial"/>
      </rPr>
      <t xml:space="preserve">Bequest
</t>
    </r>
    <r>
      <rPr>
        <i/>
        <sz val="10"/>
        <color theme="1"/>
        <rFont val="Arial"/>
      </rPr>
      <t>1H6L combo, Lucent Blades x3, Jagged Edge w/ e. Surrounded</t>
    </r>
  </si>
  <si>
    <t>combo 7</t>
  </si>
  <si>
    <r>
      <rPr>
        <sz val="10"/>
        <color theme="1"/>
        <rFont val="Arial"/>
      </rPr>
      <t xml:space="preserve">Bequest
</t>
    </r>
    <r>
      <rPr>
        <i/>
        <sz val="10"/>
        <color theme="1"/>
        <rFont val="Arial"/>
      </rPr>
      <t>1H6L combo, Lucent Blades x3, Jagged Edge w/ e. Surrounded</t>
    </r>
  </si>
  <si>
    <t>heavy attack</t>
  </si>
  <si>
    <r>
      <rPr>
        <sz val="10"/>
        <color theme="1"/>
        <rFont val="Arial"/>
      </rPr>
      <t xml:space="preserve">Bequest
</t>
    </r>
    <r>
      <rPr>
        <i/>
        <sz val="10"/>
        <color theme="1"/>
        <rFont val="Arial"/>
      </rPr>
      <t>1H2L combo, Lucent Blades x3, Jagged Edge w/ e. Surrounded</t>
    </r>
  </si>
  <si>
    <r>
      <rPr>
        <sz val="10"/>
        <color theme="1"/>
        <rFont val="Arial"/>
      </rPr>
      <t xml:space="preserve">Bequest
</t>
    </r>
    <r>
      <rPr>
        <i/>
        <sz val="10"/>
        <color theme="1"/>
        <rFont val="Arial"/>
      </rPr>
      <t>1H2L combo, Lucent Blades x3, Jagged Edge w/ e. Surrounded</t>
    </r>
  </si>
  <si>
    <r>
      <rPr>
        <sz val="10"/>
        <color theme="1"/>
        <rFont val="Arial"/>
      </rPr>
      <t xml:space="preserve">Bequest
</t>
    </r>
    <r>
      <rPr>
        <i/>
        <sz val="10"/>
        <color theme="1"/>
        <rFont val="Arial"/>
      </rPr>
      <t>1H2L combo, Lucent Blades x3, Jagged Edge w/ e. Surrounded</t>
    </r>
  </si>
  <si>
    <r>
      <rPr>
        <sz val="10"/>
        <color theme="1"/>
        <rFont val="Arial"/>
      </rPr>
      <t xml:space="preserve">Bequest
</t>
    </r>
    <r>
      <rPr>
        <i/>
        <sz val="10"/>
        <color theme="1"/>
        <rFont val="Arial"/>
      </rPr>
      <t>1H2L combo, Lucent Blades x3, Jagged Edge w/ e. Surrounded</t>
    </r>
  </si>
  <si>
    <r>
      <rPr>
        <sz val="10"/>
        <color theme="1"/>
        <rFont val="Arial"/>
      </rPr>
      <t xml:space="preserve">Bequest
</t>
    </r>
    <r>
      <rPr>
        <i/>
        <sz val="10"/>
        <color theme="1"/>
        <rFont val="Arial"/>
      </rPr>
      <t>1H2L combo, Lucent Blades x3, Jagged Edge w/ e. Surrounded</t>
    </r>
  </si>
  <si>
    <r>
      <rPr>
        <sz val="10"/>
        <color theme="1"/>
        <rFont val="Arial"/>
      </rPr>
      <t xml:space="preserve">Bequest
</t>
    </r>
    <r>
      <rPr>
        <i/>
        <sz val="10"/>
        <color theme="1"/>
        <rFont val="Arial"/>
      </rPr>
      <t>1H2L combo, Lucent Blades x3, Jagged Edge w/ e. Surrounded</t>
    </r>
  </si>
  <si>
    <r>
      <rPr>
        <sz val="10"/>
        <color theme="1"/>
        <rFont val="Arial"/>
      </rPr>
      <t xml:space="preserve">Bequest
</t>
    </r>
    <r>
      <rPr>
        <i/>
        <sz val="10"/>
        <color theme="1"/>
        <rFont val="Arial"/>
      </rPr>
      <t>1H2L combo, Lucent Blades x3, Jagged Edge w/ e. Surrounded</t>
    </r>
  </si>
  <si>
    <r>
      <rPr>
        <sz val="10"/>
        <color theme="1"/>
        <rFont val="Arial"/>
      </rPr>
      <t xml:space="preserve">Bequest
</t>
    </r>
    <r>
      <rPr>
        <i/>
        <sz val="10"/>
        <color theme="1"/>
        <rFont val="Arial"/>
      </rPr>
      <t>1H2L combo, Lucent Blades x3, Jagged Edge w/ e. Surrounded</t>
    </r>
  </si>
  <si>
    <t>combo 8</t>
  </si>
  <si>
    <r>
      <rPr>
        <sz val="10"/>
        <color theme="1"/>
        <rFont val="Arial"/>
      </rPr>
      <t xml:space="preserve">Bequest
</t>
    </r>
    <r>
      <rPr>
        <i/>
        <sz val="10"/>
        <color theme="1"/>
        <rFont val="Arial"/>
      </rPr>
      <t>1H2L combo, Lucent Blades x3, Jagged Edge w/ e. Surrounded</t>
    </r>
  </si>
  <si>
    <t>combo 9</t>
  </si>
  <si>
    <r>
      <rPr>
        <sz val="10"/>
        <color theme="1"/>
        <rFont val="Arial"/>
      </rPr>
      <t xml:space="preserve">Bequest
</t>
    </r>
    <r>
      <rPr>
        <i/>
        <sz val="10"/>
        <color theme="1"/>
        <rFont val="Arial"/>
      </rPr>
      <t>1H2L combo, Lucent Blades x3, Jagged Edge w/ e. Surrounded</t>
    </r>
  </si>
  <si>
    <t>combo 10</t>
  </si>
  <si>
    <r>
      <rPr>
        <sz val="10"/>
        <color theme="1"/>
        <rFont val="Arial"/>
      </rPr>
      <t xml:space="preserve">Bequest
</t>
    </r>
    <r>
      <rPr>
        <i/>
        <sz val="10"/>
        <color theme="1"/>
        <rFont val="Arial"/>
      </rPr>
      <t>1H2L combo, Lucent Blades x3, Jagged Edge w/ e. Surrounded</t>
    </r>
  </si>
  <si>
    <t>combo 11</t>
  </si>
  <si>
    <r>
      <rPr>
        <sz val="10"/>
        <color theme="1"/>
        <rFont val="Arial"/>
      </rPr>
      <t xml:space="preserve">Bequest
</t>
    </r>
    <r>
      <rPr>
        <i/>
        <sz val="10"/>
        <color theme="1"/>
        <rFont val="Arial"/>
      </rPr>
      <t>1H2L combo, Lucent Blades x3, Jagged Edge w/ e. Surrounded</t>
    </r>
  </si>
  <si>
    <t>combo 12</t>
  </si>
  <si>
    <r>
      <rPr>
        <sz val="10"/>
        <color theme="1"/>
        <rFont val="Arial"/>
      </rPr>
      <t xml:space="preserve">Bequest
</t>
    </r>
    <r>
      <rPr>
        <i/>
        <sz val="10"/>
        <color theme="1"/>
        <rFont val="Arial"/>
      </rPr>
      <t>1H2L combo, Lucent Blades x3, Jagged Edge w/ e. Surrounded</t>
    </r>
  </si>
  <si>
    <t>combo 13</t>
  </si>
  <si>
    <r>
      <rPr>
        <sz val="10"/>
        <color theme="1"/>
        <rFont val="Arial"/>
      </rPr>
      <t xml:space="preserve">Blade Barrage
</t>
    </r>
    <r>
      <rPr>
        <i/>
        <sz val="10"/>
        <color theme="1"/>
        <rFont val="Arial"/>
      </rPr>
      <t>Feast of Light x4</t>
    </r>
  </si>
  <si>
    <t>blades hit</t>
  </si>
  <si>
    <r>
      <rPr>
        <sz val="10"/>
        <color theme="1"/>
        <rFont val="Arial"/>
      </rPr>
      <t xml:space="preserve">Blade Barrage
</t>
    </r>
    <r>
      <rPr>
        <i/>
        <sz val="10"/>
        <color theme="1"/>
        <rFont val="Arial"/>
      </rPr>
      <t>Feast of Light x4</t>
    </r>
  </si>
  <si>
    <t>blades explode</t>
  </si>
  <si>
    <r>
      <rPr>
        <sz val="10"/>
        <color theme="1"/>
        <rFont val="Arial"/>
      </rPr>
      <t xml:space="preserve">Cloudstrike
</t>
    </r>
    <r>
      <rPr>
        <i/>
        <sz val="10"/>
        <color theme="1"/>
        <rFont val="Arial"/>
      </rPr>
      <t>Rain of Fire</t>
    </r>
  </si>
  <si>
    <t>storm 1</t>
  </si>
  <si>
    <r>
      <rPr>
        <sz val="10"/>
        <color theme="1"/>
        <rFont val="Arial"/>
      </rPr>
      <t xml:space="preserve">Cloudstrike
</t>
    </r>
    <r>
      <rPr>
        <i/>
        <sz val="10"/>
        <color theme="1"/>
        <rFont val="Arial"/>
      </rPr>
      <t>Rain of Fire</t>
    </r>
  </si>
  <si>
    <t>storm 2</t>
  </si>
  <si>
    <r>
      <rPr>
        <sz val="10"/>
        <color theme="1"/>
        <rFont val="Arial"/>
      </rPr>
      <t xml:space="preserve">Cloudstrike
</t>
    </r>
    <r>
      <rPr>
        <i/>
        <sz val="10"/>
        <color theme="1"/>
        <rFont val="Arial"/>
      </rPr>
      <t>Rain of Fire</t>
    </r>
  </si>
  <si>
    <t>storm 3</t>
  </si>
  <si>
    <r>
      <rPr>
        <sz val="10"/>
        <color theme="1"/>
        <rFont val="Arial"/>
      </rPr>
      <t xml:space="preserve">Cloudstrike
</t>
    </r>
    <r>
      <rPr>
        <i/>
        <sz val="10"/>
        <color theme="1"/>
        <rFont val="Arial"/>
      </rPr>
      <t>Rain of Fire</t>
    </r>
  </si>
  <si>
    <t>storm 4 (RoF)</t>
  </si>
  <si>
    <r>
      <rPr>
        <sz val="10"/>
        <color theme="1"/>
        <rFont val="Arial"/>
      </rPr>
      <t xml:space="preserve">Cloudstrike
</t>
    </r>
    <r>
      <rPr>
        <i/>
        <sz val="10"/>
        <color theme="1"/>
        <rFont val="Arial"/>
      </rPr>
      <t>Rain of Fire</t>
    </r>
  </si>
  <si>
    <t>storm 5</t>
  </si>
  <si>
    <r>
      <rPr>
        <sz val="10"/>
        <color theme="1"/>
        <rFont val="Arial"/>
      </rPr>
      <t xml:space="preserve">Cloudstrike
</t>
    </r>
    <r>
      <rPr>
        <i/>
        <sz val="10"/>
        <color theme="1"/>
        <rFont val="Arial"/>
      </rPr>
      <t>Rain of Fire</t>
    </r>
  </si>
  <si>
    <t>storm 6</t>
  </si>
  <si>
    <r>
      <rPr>
        <sz val="10"/>
        <color theme="1"/>
        <rFont val="Arial"/>
      </rPr>
      <t xml:space="preserve">Cloudstrike
</t>
    </r>
    <r>
      <rPr>
        <i/>
        <sz val="10"/>
        <color theme="1"/>
        <rFont val="Arial"/>
      </rPr>
      <t>Rain of Fire</t>
    </r>
  </si>
  <si>
    <t>storm 7 (RoF)</t>
  </si>
  <si>
    <r>
      <rPr>
        <sz val="10"/>
        <color theme="1"/>
        <rFont val="Arial"/>
      </rPr>
      <t xml:space="preserve">Cloudstrike
</t>
    </r>
    <r>
      <rPr>
        <i/>
        <sz val="10"/>
        <color theme="1"/>
        <rFont val="Arial"/>
      </rPr>
      <t>Rain of Fire</t>
    </r>
  </si>
  <si>
    <t>storm 8</t>
  </si>
  <si>
    <r>
      <rPr>
        <sz val="10"/>
        <color theme="1"/>
        <rFont val="Arial"/>
      </rPr>
      <t xml:space="preserve">Cloudstrike
</t>
    </r>
    <r>
      <rPr>
        <i/>
        <sz val="10"/>
        <color theme="1"/>
        <rFont val="Arial"/>
      </rPr>
      <t>Rain of Fire</t>
    </r>
  </si>
  <si>
    <t>storm 9</t>
  </si>
  <si>
    <r>
      <rPr>
        <sz val="10"/>
        <color theme="1"/>
        <rFont val="Arial"/>
      </rPr>
      <t xml:space="preserve">Cloudstrike
</t>
    </r>
    <r>
      <rPr>
        <i/>
        <sz val="10"/>
        <color theme="1"/>
        <rFont val="Arial"/>
      </rPr>
      <t>Rain of Fire</t>
    </r>
  </si>
  <si>
    <t>storm 10 (RoF)</t>
  </si>
  <si>
    <r>
      <rPr>
        <sz val="10"/>
        <color theme="1"/>
        <rFont val="Arial"/>
      </rPr>
      <t xml:space="preserve">Cloudstrike
</t>
    </r>
    <r>
      <rPr>
        <i/>
        <sz val="10"/>
        <color theme="1"/>
        <rFont val="Arial"/>
      </rPr>
      <t>Rain of Fire</t>
    </r>
  </si>
  <si>
    <t>storm 11</t>
  </si>
  <si>
    <r>
      <rPr>
        <sz val="10"/>
        <color theme="1"/>
        <rFont val="Arial"/>
      </rPr>
      <t xml:space="preserve">Cloudstrike
</t>
    </r>
    <r>
      <rPr>
        <i/>
        <sz val="10"/>
        <color theme="1"/>
        <rFont val="Arial"/>
      </rPr>
      <t>Rain of Fire</t>
    </r>
  </si>
  <si>
    <t>storm 12</t>
  </si>
  <si>
    <r>
      <rPr>
        <sz val="10"/>
        <color theme="1"/>
        <rFont val="Arial"/>
      </rPr>
      <t xml:space="preserve">Cloudstrike
</t>
    </r>
    <r>
      <rPr>
        <i/>
        <sz val="10"/>
        <color theme="1"/>
        <rFont val="Arial"/>
      </rPr>
      <t>Rain of Fire</t>
    </r>
  </si>
  <si>
    <t>storm 13 (RoF)</t>
  </si>
  <si>
    <r>
      <rPr>
        <sz val="10"/>
        <color theme="1"/>
        <rFont val="Arial"/>
      </rPr>
      <t xml:space="preserve">Cloudstrike
</t>
    </r>
    <r>
      <rPr>
        <i/>
        <sz val="10"/>
        <color theme="1"/>
        <rFont val="Arial"/>
      </rPr>
      <t>Rain of Fire</t>
    </r>
  </si>
  <si>
    <t>storm 14</t>
  </si>
  <si>
    <r>
      <rPr>
        <sz val="10"/>
        <color theme="1"/>
        <rFont val="Arial"/>
      </rPr>
      <t xml:space="preserve">Cloudstrike
</t>
    </r>
    <r>
      <rPr>
        <i/>
        <sz val="10"/>
        <color theme="1"/>
        <rFont val="Arial"/>
      </rPr>
      <t>Rain of Fire</t>
    </r>
  </si>
  <si>
    <t>storm 15</t>
  </si>
  <si>
    <r>
      <rPr>
        <sz val="10"/>
        <color theme="1"/>
        <rFont val="Arial"/>
      </rPr>
      <t xml:space="preserve">Cloudstrike
</t>
    </r>
    <r>
      <rPr>
        <i/>
        <sz val="10"/>
        <color theme="1"/>
        <rFont val="Arial"/>
      </rPr>
      <t>Rain of Fire</t>
    </r>
  </si>
  <si>
    <t>storm 16 (RoF)</t>
  </si>
  <si>
    <r>
      <rPr>
        <sz val="10"/>
        <color theme="1"/>
        <rFont val="Arial"/>
      </rPr>
      <t xml:space="preserve">Cloudstrike
</t>
    </r>
    <r>
      <rPr>
        <i/>
        <sz val="10"/>
        <color theme="1"/>
        <rFont val="Arial"/>
      </rPr>
      <t>Rain of Fire</t>
    </r>
  </si>
  <si>
    <t>storm 17</t>
  </si>
  <si>
    <r>
      <rPr>
        <sz val="10"/>
        <color theme="1"/>
        <rFont val="Arial"/>
      </rPr>
      <t xml:space="preserve">Cloudstrike
</t>
    </r>
    <r>
      <rPr>
        <i/>
        <sz val="10"/>
        <color theme="1"/>
        <rFont val="Arial"/>
      </rPr>
      <t>Rain of Fire</t>
    </r>
  </si>
  <si>
    <t>storm 18</t>
  </si>
  <si>
    <r>
      <rPr>
        <sz val="10"/>
        <color theme="1"/>
        <rFont val="Arial"/>
      </rPr>
      <t xml:space="preserve">Cloudstrike
</t>
    </r>
    <r>
      <rPr>
        <i/>
        <sz val="10"/>
        <color theme="1"/>
        <rFont val="Arial"/>
      </rPr>
      <t>Rain of Fire</t>
    </r>
  </si>
  <si>
    <t>single shot</t>
  </si>
  <si>
    <r>
      <rPr>
        <sz val="10"/>
        <color theme="1"/>
        <rFont val="Arial"/>
      </rPr>
      <t xml:space="preserve">Conditional Finality
</t>
    </r>
    <r>
      <rPr>
        <i/>
        <sz val="10"/>
        <color theme="1"/>
        <rFont val="Arial"/>
      </rPr>
      <t>Rain of Fire, Lunafaction Boots, 3x Loader</t>
    </r>
  </si>
  <si>
    <t>ignition 1</t>
  </si>
  <si>
    <r>
      <rPr>
        <sz val="10"/>
        <color theme="1"/>
        <rFont val="Arial"/>
      </rPr>
      <t xml:space="preserve">Conditional Finality
</t>
    </r>
    <r>
      <rPr>
        <i/>
        <sz val="10"/>
        <color theme="1"/>
        <rFont val="Arial"/>
      </rPr>
      <t>Rain of Fire, Lunafaction Boots, 3x Loader</t>
    </r>
  </si>
  <si>
    <t>ignition 2</t>
  </si>
  <si>
    <r>
      <rPr>
        <sz val="10"/>
        <color theme="1"/>
        <rFont val="Arial"/>
      </rPr>
      <t xml:space="preserve">Conditional Finality
</t>
    </r>
    <r>
      <rPr>
        <i/>
        <sz val="10"/>
        <color theme="1"/>
        <rFont val="Arial"/>
      </rPr>
      <t>Rain of Fire, Lunafaction Boots, 3x Loader</t>
    </r>
  </si>
  <si>
    <t>ignition 3</t>
  </si>
  <si>
    <r>
      <rPr>
        <sz val="10"/>
        <color theme="1"/>
        <rFont val="Arial"/>
      </rPr>
      <t xml:space="preserve">Conditional Finality
</t>
    </r>
    <r>
      <rPr>
        <i/>
        <sz val="10"/>
        <color theme="1"/>
        <rFont val="Arial"/>
      </rPr>
      <t>Rain of Fire, Lunafaction Boots, 3x Loader</t>
    </r>
  </si>
  <si>
    <t>ignition 4</t>
  </si>
  <si>
    <r>
      <rPr>
        <sz val="10"/>
        <color theme="1"/>
        <rFont val="Arial"/>
      </rPr>
      <t xml:space="preserve">Conditional Finality
</t>
    </r>
    <r>
      <rPr>
        <i/>
        <sz val="10"/>
        <color theme="1"/>
        <rFont val="Arial"/>
      </rPr>
      <t>Rain of Fire, Lunafaction Boots, 3x Loader</t>
    </r>
  </si>
  <si>
    <t>ignition 5</t>
  </si>
  <si>
    <r>
      <rPr>
        <sz val="10"/>
        <color theme="1"/>
        <rFont val="Arial"/>
      </rPr>
      <t xml:space="preserve">Conditional Finality
</t>
    </r>
    <r>
      <rPr>
        <i/>
        <sz val="10"/>
        <color theme="1"/>
        <rFont val="Arial"/>
      </rPr>
      <t>Rain of Fire, Lunafaction Boots, 3x Loader</t>
    </r>
  </si>
  <si>
    <t>ignition 6</t>
  </si>
  <si>
    <r>
      <rPr>
        <sz val="10"/>
        <color theme="1"/>
        <rFont val="Arial"/>
      </rPr>
      <t xml:space="preserve">Conditional Finality
</t>
    </r>
    <r>
      <rPr>
        <i/>
        <sz val="10"/>
        <color theme="1"/>
        <rFont val="Arial"/>
      </rPr>
      <t>Rain of Fire, Lunafaction Boots, 3x Loader</t>
    </r>
  </si>
  <si>
    <t>ignition 7</t>
  </si>
  <si>
    <r>
      <rPr>
        <sz val="10"/>
        <color theme="1"/>
        <rFont val="Arial"/>
      </rPr>
      <t xml:space="preserve">Conditional Finality
</t>
    </r>
    <r>
      <rPr>
        <i/>
        <sz val="10"/>
        <color theme="1"/>
        <rFont val="Arial"/>
      </rPr>
      <t>Rain of Fire, Lunafaction Boots, 3x Loader</t>
    </r>
  </si>
  <si>
    <t>ignition 8</t>
  </si>
  <si>
    <r>
      <rPr>
        <sz val="10"/>
        <color theme="1"/>
        <rFont val="Arial"/>
      </rPr>
      <t xml:space="preserve">Conditional Finality
</t>
    </r>
    <r>
      <rPr>
        <i/>
        <sz val="10"/>
        <color theme="1"/>
        <rFont val="Arial"/>
      </rPr>
      <t>Rain of Fire, Lunafaction Boots, 3x Loader</t>
    </r>
  </si>
  <si>
    <t>ignition 9</t>
  </si>
  <si>
    <r>
      <rPr>
        <sz val="10"/>
        <color theme="1"/>
        <rFont val="Arial"/>
      </rPr>
      <t xml:space="preserve">Conditional Finality
</t>
    </r>
    <r>
      <rPr>
        <i/>
        <sz val="10"/>
        <color theme="1"/>
        <rFont val="Arial"/>
      </rPr>
      <t>Rain of Fire, Lunafaction Boots, 3x Loader</t>
    </r>
  </si>
  <si>
    <t>ignition 10</t>
  </si>
  <si>
    <r>
      <rPr>
        <sz val="10"/>
        <color theme="1"/>
        <rFont val="Arial"/>
      </rPr>
      <t xml:space="preserve">Conditional Finality
</t>
    </r>
    <r>
      <rPr>
        <i/>
        <sz val="10"/>
        <color theme="1"/>
        <rFont val="Arial"/>
      </rPr>
      <t>Rain of Fire, Lunafaction Boots, 3x Loader</t>
    </r>
  </si>
  <si>
    <t>ignition 11</t>
  </si>
  <si>
    <r>
      <rPr>
        <sz val="10"/>
        <color theme="1"/>
        <rFont val="Arial"/>
      </rPr>
      <t xml:space="preserve">Conditional Finality pellet swapping
</t>
    </r>
    <r>
      <rPr>
        <i/>
        <sz val="10"/>
        <color theme="1"/>
        <rFont val="Arial"/>
      </rPr>
      <t>Surrounded (A Sudden Death), body, Rain of Fire</t>
    </r>
  </si>
  <si>
    <t>Conditional shot 1</t>
  </si>
  <si>
    <r>
      <rPr>
        <sz val="10"/>
        <color theme="1"/>
        <rFont val="Arial"/>
      </rPr>
      <t xml:space="preserve">Conditional Finality pellet swapping
</t>
    </r>
    <r>
      <rPr>
        <i/>
        <sz val="10"/>
        <color theme="1"/>
        <rFont val="Arial"/>
      </rPr>
      <t>Surrounded (A Sudden Death), body, Rain of Fire</t>
    </r>
  </si>
  <si>
    <t>pellet shot 1</t>
  </si>
  <si>
    <r>
      <rPr>
        <sz val="10"/>
        <color theme="1"/>
        <rFont val="Arial"/>
      </rPr>
      <t xml:space="preserve">Conditional Finality pellet swapping
</t>
    </r>
    <r>
      <rPr>
        <i/>
        <sz val="10"/>
        <color theme="1"/>
        <rFont val="Arial"/>
      </rPr>
      <t>Surrounded (A Sudden Death), body, Rain of Fire</t>
    </r>
  </si>
  <si>
    <t>Conditional shot 2</t>
  </si>
  <si>
    <r>
      <rPr>
        <sz val="10"/>
        <color theme="1"/>
        <rFont val="Arial"/>
      </rPr>
      <t xml:space="preserve">Conditional Finality pellet swapping
</t>
    </r>
    <r>
      <rPr>
        <i/>
        <sz val="10"/>
        <color theme="1"/>
        <rFont val="Arial"/>
      </rPr>
      <t>Surrounded (A Sudden Death), body, Rain of Fire</t>
    </r>
  </si>
  <si>
    <t>pellet shot 2</t>
  </si>
  <si>
    <r>
      <rPr>
        <sz val="10"/>
        <color theme="1"/>
        <rFont val="Arial"/>
      </rPr>
      <t xml:space="preserve">Conditional Finality pellet swapping
</t>
    </r>
    <r>
      <rPr>
        <i/>
        <sz val="10"/>
        <color theme="1"/>
        <rFont val="Arial"/>
      </rPr>
      <t>Surrounded (A Sudden Death), body, Rain of Fire</t>
    </r>
  </si>
  <si>
    <t>Conditional shot 3</t>
  </si>
  <si>
    <r>
      <rPr>
        <sz val="10"/>
        <color theme="1"/>
        <rFont val="Arial"/>
      </rPr>
      <t xml:space="preserve">Conditional Finality pellet swapping
</t>
    </r>
    <r>
      <rPr>
        <i/>
        <sz val="10"/>
        <color theme="1"/>
        <rFont val="Arial"/>
      </rPr>
      <t>Surrounded (A Sudden Death), body, Rain of Fire</t>
    </r>
  </si>
  <si>
    <t>pellet shot 3</t>
  </si>
  <si>
    <r>
      <rPr>
        <sz val="10"/>
        <color theme="1"/>
        <rFont val="Arial"/>
      </rPr>
      <t xml:space="preserve">Conditional Finality pellet swapping
</t>
    </r>
    <r>
      <rPr>
        <i/>
        <sz val="10"/>
        <color theme="1"/>
        <rFont val="Arial"/>
      </rPr>
      <t>Surrounded (A Sudden Death), body, Rain of Fire</t>
    </r>
  </si>
  <si>
    <t>Conditional shot 4</t>
  </si>
  <si>
    <r>
      <rPr>
        <sz val="10"/>
        <color theme="1"/>
        <rFont val="Arial"/>
      </rPr>
      <t xml:space="preserve">Conditional Finality pellet swapping
</t>
    </r>
    <r>
      <rPr>
        <i/>
        <sz val="10"/>
        <color theme="1"/>
        <rFont val="Arial"/>
      </rPr>
      <t>Surrounded (A Sudden Death), body, Rain of Fire</t>
    </r>
  </si>
  <si>
    <t>pellet shot 4</t>
  </si>
  <si>
    <r>
      <rPr>
        <sz val="10"/>
        <color theme="1"/>
        <rFont val="Arial"/>
      </rPr>
      <t xml:space="preserve">Conditional Finality pellet swapping
</t>
    </r>
    <r>
      <rPr>
        <i/>
        <sz val="10"/>
        <color theme="1"/>
        <rFont val="Arial"/>
      </rPr>
      <t>Surrounded (A Sudden Death), body, Rain of Fire</t>
    </r>
  </si>
  <si>
    <t>Conditional shot 5</t>
  </si>
  <si>
    <r>
      <rPr>
        <sz val="10"/>
        <color theme="1"/>
        <rFont val="Arial"/>
      </rPr>
      <t xml:space="preserve">Conditional Finality pellet swapping
</t>
    </r>
    <r>
      <rPr>
        <i/>
        <sz val="10"/>
        <color theme="1"/>
        <rFont val="Arial"/>
      </rPr>
      <t>Surrounded (A Sudden Death), body, Rain of Fire</t>
    </r>
  </si>
  <si>
    <t>pellet shot 5</t>
  </si>
  <si>
    <r>
      <rPr>
        <sz val="10"/>
        <color theme="1"/>
        <rFont val="Arial"/>
      </rPr>
      <t xml:space="preserve">Conditional Finality pellet swapping
</t>
    </r>
    <r>
      <rPr>
        <i/>
        <sz val="10"/>
        <color theme="1"/>
        <rFont val="Arial"/>
      </rPr>
      <t>Surrounded (A Sudden Death), body, Rain of Fire</t>
    </r>
  </si>
  <si>
    <t>Conditional shot 6</t>
  </si>
  <si>
    <r>
      <rPr>
        <sz val="10"/>
        <color theme="1"/>
        <rFont val="Arial"/>
      </rPr>
      <t xml:space="preserve">Conditional Finality pellet swapping
</t>
    </r>
    <r>
      <rPr>
        <i/>
        <sz val="10"/>
        <color theme="1"/>
        <rFont val="Arial"/>
      </rPr>
      <t>Surrounded (A Sudden Death), body, Rain of Fire</t>
    </r>
  </si>
  <si>
    <t>pellet shot 6</t>
  </si>
  <si>
    <r>
      <rPr>
        <sz val="10"/>
        <color theme="1"/>
        <rFont val="Arial"/>
      </rPr>
      <t xml:space="preserve">Conditional Finality pellet swapping
</t>
    </r>
    <r>
      <rPr>
        <i/>
        <sz val="10"/>
        <color theme="1"/>
        <rFont val="Arial"/>
      </rPr>
      <t>Surrounded (A Sudden Death), body, Rain of Fire</t>
    </r>
  </si>
  <si>
    <t>Conditional shot 7</t>
  </si>
  <si>
    <r>
      <rPr>
        <sz val="10"/>
        <color theme="1"/>
        <rFont val="Arial"/>
      </rPr>
      <t xml:space="preserve">Conditional Finality pellet swapping
</t>
    </r>
    <r>
      <rPr>
        <i/>
        <sz val="10"/>
        <color theme="1"/>
        <rFont val="Arial"/>
      </rPr>
      <t>Surrounded (A Sudden Death), body, Rain of Fire</t>
    </r>
  </si>
  <si>
    <t>pellet shot 7</t>
  </si>
  <si>
    <r>
      <rPr>
        <sz val="10"/>
        <color theme="1"/>
        <rFont val="Arial"/>
      </rPr>
      <t xml:space="preserve">Conditional Finality pellet swapping
</t>
    </r>
    <r>
      <rPr>
        <i/>
        <sz val="10"/>
        <color theme="1"/>
        <rFont val="Arial"/>
      </rPr>
      <t>Surrounded (A Sudden Death), body, Rain of Fire</t>
    </r>
  </si>
  <si>
    <t>Conditional shot 8</t>
  </si>
  <si>
    <r>
      <rPr>
        <sz val="10"/>
        <color theme="1"/>
        <rFont val="Arial"/>
      </rPr>
      <t xml:space="preserve">Conditional Finality pellet swapping
</t>
    </r>
    <r>
      <rPr>
        <i/>
        <sz val="10"/>
        <color theme="1"/>
        <rFont val="Arial"/>
      </rPr>
      <t>Surrounded (A Sudden Death), body, Rain of Fire</t>
    </r>
  </si>
  <si>
    <t>pellet shot 8</t>
  </si>
  <si>
    <r>
      <rPr>
        <sz val="10"/>
        <color theme="1"/>
        <rFont val="Arial"/>
      </rPr>
      <t xml:space="preserve">Conditional Finality pellet swapping
</t>
    </r>
    <r>
      <rPr>
        <i/>
        <sz val="10"/>
        <color theme="1"/>
        <rFont val="Arial"/>
      </rPr>
      <t>Surrounded (A Sudden Death), body, Rain of Fire</t>
    </r>
  </si>
  <si>
    <t>Conditional shot 9</t>
  </si>
  <si>
    <r>
      <rPr>
        <sz val="10"/>
        <color theme="1"/>
        <rFont val="Arial"/>
      </rPr>
      <t xml:space="preserve">Conditional Finality pellet swapping
</t>
    </r>
    <r>
      <rPr>
        <i/>
        <sz val="10"/>
        <color theme="1"/>
        <rFont val="Arial"/>
      </rPr>
      <t>Surrounded (A Sudden Death), body, Rain of Fire</t>
    </r>
  </si>
  <si>
    <t>pellet shot 9</t>
  </si>
  <si>
    <r>
      <rPr>
        <sz val="10"/>
        <color theme="1"/>
        <rFont val="Arial"/>
      </rPr>
      <t xml:space="preserve">Conditional Finality pellet swapping
</t>
    </r>
    <r>
      <rPr>
        <i/>
        <sz val="10"/>
        <color theme="1"/>
        <rFont val="Arial"/>
      </rPr>
      <t>Surrounded (A Sudden Death), body, Rain of Fire</t>
    </r>
  </si>
  <si>
    <t>Conditional shot 10</t>
  </si>
  <si>
    <r>
      <rPr>
        <sz val="10"/>
        <color theme="1"/>
        <rFont val="Arial"/>
      </rPr>
      <t xml:space="preserve">Conditional Finality pellet swapping
</t>
    </r>
    <r>
      <rPr>
        <i/>
        <sz val="10"/>
        <color theme="1"/>
        <rFont val="Arial"/>
      </rPr>
      <t>Surrounded (A Sudden Death), body, Rain of Fire</t>
    </r>
  </si>
  <si>
    <t>pellet shot 10</t>
  </si>
  <si>
    <r>
      <rPr>
        <sz val="10"/>
        <color theme="1"/>
        <rFont val="Arial"/>
      </rPr>
      <t xml:space="preserve">Conditional Finality pellet swapping
</t>
    </r>
    <r>
      <rPr>
        <i/>
        <sz val="10"/>
        <color theme="1"/>
        <rFont val="Arial"/>
      </rPr>
      <t>Surrounded (A Sudden Death), body, Rain of Fire</t>
    </r>
  </si>
  <si>
    <t>Conditional shot 11</t>
  </si>
  <si>
    <r>
      <rPr>
        <sz val="10"/>
        <color theme="1"/>
        <rFont val="Arial"/>
      </rPr>
      <t xml:space="preserve">Conditional Finality pellet swapping
</t>
    </r>
    <r>
      <rPr>
        <i/>
        <sz val="10"/>
        <color theme="1"/>
        <rFont val="Arial"/>
      </rPr>
      <t>Surrounded (A Sudden Death), body, Rain of Fire</t>
    </r>
  </si>
  <si>
    <t>pellet shot 11</t>
  </si>
  <si>
    <r>
      <rPr>
        <sz val="10"/>
        <color theme="1"/>
        <rFont val="Arial"/>
      </rPr>
      <t xml:space="preserve">Conditional Finality pellet swapping
</t>
    </r>
    <r>
      <rPr>
        <i/>
        <sz val="10"/>
        <color theme="1"/>
        <rFont val="Arial"/>
      </rPr>
      <t>Surrounded (A Sudden Death), body, Rain of Fire</t>
    </r>
  </si>
  <si>
    <t>Conditional shot 12</t>
  </si>
  <si>
    <r>
      <rPr>
        <sz val="10"/>
        <color theme="1"/>
        <rFont val="Arial"/>
      </rPr>
      <t xml:space="preserve">Conditional Finality pellet swapping
</t>
    </r>
    <r>
      <rPr>
        <i/>
        <sz val="10"/>
        <color theme="1"/>
        <rFont val="Arial"/>
      </rPr>
      <t>Surrounded (A Sudden Death), body, Rain of Fire</t>
    </r>
  </si>
  <si>
    <t>pellet shot 12</t>
  </si>
  <si>
    <r>
      <rPr>
        <sz val="10"/>
        <color theme="1"/>
        <rFont val="Arial"/>
      </rPr>
      <t xml:space="preserve">Conditional Finality pellet swapping
</t>
    </r>
    <r>
      <rPr>
        <i/>
        <sz val="10"/>
        <color theme="1"/>
        <rFont val="Arial"/>
      </rPr>
      <t>Surrounded (A Sudden Death), body, Rain of Fire</t>
    </r>
  </si>
  <si>
    <t>Conditional shot 13</t>
  </si>
  <si>
    <r>
      <rPr>
        <sz val="10"/>
        <color theme="1"/>
        <rFont val="Arial"/>
      </rPr>
      <t xml:space="preserve">Conditional Finality pellet swapping
</t>
    </r>
    <r>
      <rPr>
        <i/>
        <sz val="10"/>
        <color theme="1"/>
        <rFont val="Arial"/>
      </rPr>
      <t>Surrounded (A Sudden Death), body, Rain of Fire</t>
    </r>
  </si>
  <si>
    <t>pellet shot 13</t>
  </si>
  <si>
    <r>
      <rPr>
        <sz val="10"/>
        <color theme="1"/>
        <rFont val="Arial"/>
      </rPr>
      <t xml:space="preserve">Conditional Finality pellet swapping
</t>
    </r>
    <r>
      <rPr>
        <i/>
        <sz val="10"/>
        <color theme="1"/>
        <rFont val="Arial"/>
      </rPr>
      <t>Surrounded (A Sudden Death), body, Rain of Fire</t>
    </r>
  </si>
  <si>
    <t>Conditional shot 14</t>
  </si>
  <si>
    <r>
      <rPr>
        <sz val="10"/>
        <color theme="1"/>
        <rFont val="Arial"/>
      </rPr>
      <t xml:space="preserve">Conditional Finality pellet swapping
</t>
    </r>
    <r>
      <rPr>
        <i/>
        <sz val="10"/>
        <color theme="1"/>
        <rFont val="Arial"/>
      </rPr>
      <t>Surrounded (A Sudden Death), body, Rain of Fire</t>
    </r>
  </si>
  <si>
    <t>pellet shot 14</t>
  </si>
  <si>
    <r>
      <rPr>
        <sz val="10"/>
        <color theme="1"/>
        <rFont val="Arial"/>
      </rPr>
      <t xml:space="preserve">Conditional Finality pellet swapping
</t>
    </r>
    <r>
      <rPr>
        <i/>
        <sz val="10"/>
        <color theme="1"/>
        <rFont val="Arial"/>
      </rPr>
      <t>Surrounded (A Sudden Death), body, Rain of Fire</t>
    </r>
  </si>
  <si>
    <t>Conditional shot 15</t>
  </si>
  <si>
    <r>
      <rPr>
        <sz val="10"/>
        <color theme="1"/>
        <rFont val="Arial"/>
      </rPr>
      <t xml:space="preserve">Conditional Finality pellet swapping
</t>
    </r>
    <r>
      <rPr>
        <i/>
        <sz val="10"/>
        <color theme="1"/>
        <rFont val="Arial"/>
      </rPr>
      <t>Surrounded (A Sudden Death), body, Rain of Fire</t>
    </r>
  </si>
  <si>
    <t>pellet shot 15</t>
  </si>
  <si>
    <r>
      <rPr>
        <sz val="10"/>
        <color theme="1"/>
        <rFont val="Arial"/>
      </rPr>
      <t xml:space="preserve">Conditional Finality pellet swapping
</t>
    </r>
    <r>
      <rPr>
        <i/>
        <sz val="10"/>
        <color theme="1"/>
        <rFont val="Arial"/>
      </rPr>
      <t>Surrounded (A Sudden Death), body, Rain of Fire</t>
    </r>
  </si>
  <si>
    <t>Conditional shot 16</t>
  </si>
  <si>
    <r>
      <rPr>
        <sz val="10"/>
        <color theme="1"/>
        <rFont val="Arial"/>
      </rPr>
      <t xml:space="preserve">Conditional Finality pellet swapping
</t>
    </r>
    <r>
      <rPr>
        <i/>
        <sz val="10"/>
        <color theme="1"/>
        <rFont val="Arial"/>
      </rPr>
      <t>Surrounded (A Sudden Death), body, Rain of Fire</t>
    </r>
  </si>
  <si>
    <t>pellet shot 16</t>
  </si>
  <si>
    <r>
      <rPr>
        <sz val="10"/>
        <color theme="1"/>
        <rFont val="Arial"/>
      </rPr>
      <t xml:space="preserve">Conditional Finality pellet swapping
</t>
    </r>
    <r>
      <rPr>
        <i/>
        <sz val="10"/>
        <color theme="1"/>
        <rFont val="Arial"/>
      </rPr>
      <t>Surrounded (A Sudden Death), body, Rain of Fire</t>
    </r>
  </si>
  <si>
    <t>Conditional shot 17</t>
  </si>
  <si>
    <r>
      <rPr>
        <sz val="10"/>
        <color theme="1"/>
        <rFont val="Arial"/>
      </rPr>
      <t xml:space="preserve">Conditional Finality pellet swapping
</t>
    </r>
    <r>
      <rPr>
        <i/>
        <sz val="10"/>
        <color theme="1"/>
        <rFont val="Arial"/>
      </rPr>
      <t>Surrounded (A Sudden Death), body, Rain of Fire</t>
    </r>
  </si>
  <si>
    <t>pellet shot 17</t>
  </si>
  <si>
    <r>
      <rPr>
        <sz val="10"/>
        <color theme="1"/>
        <rFont val="Arial"/>
      </rPr>
      <t xml:space="preserve">Conditional Finality pellet swapping
</t>
    </r>
    <r>
      <rPr>
        <i/>
        <sz val="10"/>
        <color theme="1"/>
        <rFont val="Arial"/>
      </rPr>
      <t>Surrounded (A Sudden Death), body, Rain of Fire</t>
    </r>
  </si>
  <si>
    <t>Conditional shot 18</t>
  </si>
  <si>
    <r>
      <rPr>
        <sz val="10"/>
        <color theme="1"/>
        <rFont val="Arial"/>
      </rPr>
      <t xml:space="preserve">Conditional Finality pellet swapping
</t>
    </r>
    <r>
      <rPr>
        <i/>
        <sz val="10"/>
        <color theme="1"/>
        <rFont val="Arial"/>
      </rPr>
      <t>Surrounded (A Sudden Death), body, Rain of Fire</t>
    </r>
  </si>
  <si>
    <t>pellet shot 18</t>
  </si>
  <si>
    <r>
      <rPr>
        <sz val="10"/>
        <color theme="1"/>
        <rFont val="Arial"/>
      </rPr>
      <t xml:space="preserve">Conditional Finality pellet swapping
</t>
    </r>
    <r>
      <rPr>
        <i/>
        <sz val="10"/>
        <color theme="1"/>
        <rFont val="Arial"/>
      </rPr>
      <t>Surrounded (A Sudden Death), body, Rain of Fire</t>
    </r>
  </si>
  <si>
    <t>Conditional shot 19</t>
  </si>
  <si>
    <r>
      <rPr>
        <sz val="10"/>
        <color theme="1"/>
        <rFont val="Arial"/>
      </rPr>
      <t xml:space="preserve">Conditional Finality pellet swapping
</t>
    </r>
    <r>
      <rPr>
        <i/>
        <sz val="10"/>
        <color theme="1"/>
        <rFont val="Arial"/>
      </rPr>
      <t>Surrounded (A Sudden Death), body, Rain of Fire</t>
    </r>
  </si>
  <si>
    <t>pellet shot 19</t>
  </si>
  <si>
    <r>
      <rPr>
        <sz val="10"/>
        <color theme="1"/>
        <rFont val="Arial"/>
      </rPr>
      <t xml:space="preserve">Conditional Finality pellet swapping
</t>
    </r>
    <r>
      <rPr>
        <i/>
        <sz val="10"/>
        <color theme="1"/>
        <rFont val="Arial"/>
      </rPr>
      <t>Surrounded (A Sudden Death), body, Rain of Fire</t>
    </r>
  </si>
  <si>
    <t>Conditional shot 20</t>
  </si>
  <si>
    <r>
      <rPr>
        <sz val="10"/>
        <color theme="1"/>
        <rFont val="Arial"/>
      </rPr>
      <t xml:space="preserve">Conditional Finality pellet swapping
</t>
    </r>
    <r>
      <rPr>
        <i/>
        <sz val="10"/>
        <color theme="1"/>
        <rFont val="Arial"/>
      </rPr>
      <t>Surrounded (A Sudden Death), body, Rain of Fire</t>
    </r>
  </si>
  <si>
    <t>pellet shot 20</t>
  </si>
  <si>
    <r>
      <rPr>
        <sz val="10"/>
        <color theme="1"/>
        <rFont val="Arial"/>
      </rPr>
      <t xml:space="preserve">Conditional Finality pellet swapping
</t>
    </r>
    <r>
      <rPr>
        <i/>
        <sz val="10"/>
        <color theme="1"/>
        <rFont val="Arial"/>
      </rPr>
      <t>Surrounded (A Sudden Death), body, Rain of Fire</t>
    </r>
  </si>
  <si>
    <t>Conditional shot 21</t>
  </si>
  <si>
    <r>
      <rPr>
        <sz val="10"/>
        <color theme="1"/>
        <rFont val="Arial"/>
      </rPr>
      <t xml:space="preserve">Conditional Finality pellet swapping
</t>
    </r>
    <r>
      <rPr>
        <i/>
        <sz val="10"/>
        <color theme="1"/>
        <rFont val="Arial"/>
      </rPr>
      <t>Surrounded (A Sudden Death), body, Rain of Fire</t>
    </r>
  </si>
  <si>
    <t>pellet shot 21</t>
  </si>
  <si>
    <r>
      <rPr>
        <sz val="10"/>
        <color theme="1"/>
        <rFont val="Arial"/>
      </rPr>
      <t xml:space="preserve">Conditional Finality pellet swapping
</t>
    </r>
    <r>
      <rPr>
        <i/>
        <sz val="10"/>
        <color theme="1"/>
        <rFont val="Arial"/>
      </rPr>
      <t>Surrounded (A Sudden Death), body, Rain of Fire</t>
    </r>
  </si>
  <si>
    <t>Conditional shot 22</t>
  </si>
  <si>
    <r>
      <rPr>
        <sz val="10"/>
        <color theme="1"/>
        <rFont val="Arial"/>
      </rPr>
      <t xml:space="preserve">Cup-Bearer SA/2
</t>
    </r>
    <r>
      <rPr>
        <i/>
        <sz val="10"/>
        <color theme="1"/>
        <rFont val="Arial"/>
      </rPr>
      <t>Cluster Bomb, Pack Hunter, Lunafaction Boots, 3x Loader</t>
    </r>
  </si>
  <si>
    <r>
      <rPr>
        <sz val="10"/>
        <color theme="1"/>
        <rFont val="Arial"/>
      </rPr>
      <t xml:space="preserve">Cup-Bearer SA/2
</t>
    </r>
    <r>
      <rPr>
        <i/>
        <sz val="10"/>
        <color theme="1"/>
        <rFont val="Arial"/>
      </rPr>
      <t>Cluster Bomb, Pack Hunter, Lunafaction Boots, 3x Loader</t>
    </r>
  </si>
  <si>
    <r>
      <rPr>
        <sz val="10"/>
        <color theme="1"/>
        <rFont val="Arial"/>
      </rPr>
      <t xml:space="preserve">Cup-Bearer SA/2
</t>
    </r>
    <r>
      <rPr>
        <i/>
        <sz val="10"/>
        <color theme="1"/>
        <rFont val="Arial"/>
      </rPr>
      <t>Cluster Bomb, Pack Hunter, Lunafaction Boots, 3x Loader</t>
    </r>
  </si>
  <si>
    <r>
      <rPr>
        <sz val="10"/>
        <color theme="1"/>
        <rFont val="Arial"/>
      </rPr>
      <t xml:space="preserve">Cup-Bearer SA/2
</t>
    </r>
    <r>
      <rPr>
        <i/>
        <sz val="10"/>
        <color theme="1"/>
        <rFont val="Arial"/>
      </rPr>
      <t>Cluster Bomb, Pack Hunter, Lunafaction Boots, 3x Loader</t>
    </r>
  </si>
  <si>
    <r>
      <rPr>
        <sz val="10"/>
        <color theme="1"/>
        <rFont val="Arial"/>
      </rPr>
      <t xml:space="preserve">Cup-Bearer SA/2
</t>
    </r>
    <r>
      <rPr>
        <i/>
        <sz val="10"/>
        <color theme="1"/>
        <rFont val="Arial"/>
      </rPr>
      <t>Cluster Bomb, Pack Hunter, Lunafaction Boots, 3x Loader</t>
    </r>
  </si>
  <si>
    <r>
      <rPr>
        <sz val="10"/>
        <color theme="1"/>
        <rFont val="Arial"/>
      </rPr>
      <t xml:space="preserve">Cup-Bearer SA/2
</t>
    </r>
    <r>
      <rPr>
        <i/>
        <sz val="10"/>
        <color theme="1"/>
        <rFont val="Arial"/>
      </rPr>
      <t>Cluster Bomb, Pack Hunter, Lunafaction Boots, 3x Loader</t>
    </r>
  </si>
  <si>
    <r>
      <rPr>
        <sz val="10"/>
        <color theme="1"/>
        <rFont val="Arial"/>
      </rPr>
      <t xml:space="preserve">Cup-Bearer SA/2
</t>
    </r>
    <r>
      <rPr>
        <i/>
        <sz val="10"/>
        <color theme="1"/>
        <rFont val="Arial"/>
      </rPr>
      <t>Cluster Bomb, Pack Hunter, Lunafaction Boots, 3x Loader</t>
    </r>
  </si>
  <si>
    <r>
      <rPr>
        <sz val="10"/>
        <color theme="1"/>
        <rFont val="Arial"/>
      </rPr>
      <t xml:space="preserve">Cup-Bearer SA/2
</t>
    </r>
    <r>
      <rPr>
        <i/>
        <sz val="10"/>
        <color theme="1"/>
        <rFont val="Arial"/>
      </rPr>
      <t>Cluster Bomb, Pack Hunter, Lunafaction Boots, 3x Loader</t>
    </r>
  </si>
  <si>
    <r>
      <rPr>
        <sz val="10"/>
        <color theme="1"/>
        <rFont val="Arial"/>
      </rPr>
      <t xml:space="preserve">Cup-Bearer SA/2
</t>
    </r>
    <r>
      <rPr>
        <i/>
        <sz val="10"/>
        <color theme="1"/>
        <rFont val="Arial"/>
      </rPr>
      <t>Cluster Bomb, Pack Hunter, Lunafaction Boots, 3x Loader</t>
    </r>
  </si>
  <si>
    <r>
      <rPr>
        <sz val="10"/>
        <color theme="1"/>
        <rFont val="Arial"/>
      </rPr>
      <t xml:space="preserve">Death's Razor
</t>
    </r>
    <r>
      <rPr>
        <i/>
        <sz val="10"/>
        <color theme="1"/>
        <rFont val="Arial"/>
      </rPr>
      <t>1H5L combo, Lucent Blades x3, Jagged Edge w/ e. Surrounded</t>
    </r>
  </si>
  <si>
    <r>
      <rPr>
        <sz val="10"/>
        <color theme="1"/>
        <rFont val="Arial"/>
      </rPr>
      <t xml:space="preserve">Death's Razor
</t>
    </r>
    <r>
      <rPr>
        <i/>
        <sz val="10"/>
        <color theme="1"/>
        <rFont val="Arial"/>
      </rPr>
      <t>1H5L combo, Lucent Blades x3, Jagged Edge w/ e. Surrounded</t>
    </r>
  </si>
  <si>
    <r>
      <rPr>
        <sz val="10"/>
        <color theme="1"/>
        <rFont val="Arial"/>
      </rPr>
      <t xml:space="preserve">Death's Razor
</t>
    </r>
    <r>
      <rPr>
        <i/>
        <sz val="10"/>
        <color theme="1"/>
        <rFont val="Arial"/>
      </rPr>
      <t>1H5L combo, Lucent Blades x3, Jagged Edge w/ e. Surrounded</t>
    </r>
  </si>
  <si>
    <r>
      <rPr>
        <sz val="10"/>
        <color theme="1"/>
        <rFont val="Arial"/>
      </rPr>
      <t xml:space="preserve">Death's Razor
</t>
    </r>
    <r>
      <rPr>
        <i/>
        <sz val="10"/>
        <color theme="1"/>
        <rFont val="Arial"/>
      </rPr>
      <t>1H5L combo, Lucent Blades x3, Jagged Edge w/ e. Surrounded</t>
    </r>
  </si>
  <si>
    <r>
      <rPr>
        <sz val="10"/>
        <color theme="1"/>
        <rFont val="Arial"/>
      </rPr>
      <t xml:space="preserve">Death's Razor
</t>
    </r>
    <r>
      <rPr>
        <i/>
        <sz val="10"/>
        <color theme="1"/>
        <rFont val="Arial"/>
      </rPr>
      <t>1H5L combo, Lucent Blades x3, Jagged Edge w/ e. Surrounded</t>
    </r>
  </si>
  <si>
    <r>
      <rPr>
        <sz val="10"/>
        <color theme="1"/>
        <rFont val="Arial"/>
      </rPr>
      <t xml:space="preserve">Death's Razor
</t>
    </r>
    <r>
      <rPr>
        <i/>
        <sz val="10"/>
        <color theme="1"/>
        <rFont val="Arial"/>
      </rPr>
      <t>1H5L combo, Lucent Blades x3, Jagged Edge w/ e. Surrounded</t>
    </r>
  </si>
  <si>
    <r>
      <rPr>
        <sz val="10"/>
        <color theme="1"/>
        <rFont val="Arial"/>
      </rPr>
      <t xml:space="preserve">Death's Razor
</t>
    </r>
    <r>
      <rPr>
        <i/>
        <sz val="10"/>
        <color theme="1"/>
        <rFont val="Arial"/>
      </rPr>
      <t>1H5L combo, Lucent Blades x3, Jagged Edge w/ e. Surrounded</t>
    </r>
  </si>
  <si>
    <r>
      <rPr>
        <sz val="10"/>
        <color theme="1"/>
        <rFont val="Arial"/>
      </rPr>
      <t xml:space="preserve">Deathbringer
</t>
    </r>
    <r>
      <rPr>
        <i/>
        <sz val="10"/>
        <color theme="1"/>
        <rFont val="Arial"/>
      </rPr>
      <t>max height on all projectiles, Radiant Dance Machines</t>
    </r>
  </si>
  <si>
    <r>
      <rPr>
        <sz val="10"/>
        <color theme="1"/>
        <rFont val="Arial"/>
      </rPr>
      <t xml:space="preserve">Deathbringer
</t>
    </r>
    <r>
      <rPr>
        <i/>
        <sz val="10"/>
        <color theme="1"/>
        <rFont val="Arial"/>
      </rPr>
      <t>max height on all projectiles, Radiant Dance Machines</t>
    </r>
  </si>
  <si>
    <r>
      <rPr>
        <sz val="10"/>
        <color theme="1"/>
        <rFont val="Arial"/>
      </rPr>
      <t xml:space="preserve">Deathbringer
</t>
    </r>
    <r>
      <rPr>
        <i/>
        <sz val="10"/>
        <color theme="1"/>
        <rFont val="Arial"/>
      </rPr>
      <t>max height on all projectiles, Radiant Dance Machines</t>
    </r>
  </si>
  <si>
    <r>
      <rPr>
        <sz val="10"/>
        <color theme="1"/>
        <rFont val="Arial"/>
      </rPr>
      <t xml:space="preserve">Deathbringer
</t>
    </r>
    <r>
      <rPr>
        <i/>
        <sz val="10"/>
        <color theme="1"/>
        <rFont val="Arial"/>
      </rPr>
      <t>max height on all projectiles, Radiant Dance Machines</t>
    </r>
  </si>
  <si>
    <r>
      <rPr>
        <sz val="10"/>
        <color theme="1"/>
        <rFont val="Arial"/>
      </rPr>
      <t xml:space="preserve">Deathbringer
</t>
    </r>
    <r>
      <rPr>
        <i/>
        <sz val="10"/>
        <color theme="1"/>
        <rFont val="Arial"/>
      </rPr>
      <t>max height on all projectiles, Radiant Dance Machines</t>
    </r>
  </si>
  <si>
    <r>
      <rPr>
        <sz val="10"/>
        <color theme="1"/>
        <rFont val="Arial"/>
      </rPr>
      <t xml:space="preserve">Deathbringer
</t>
    </r>
    <r>
      <rPr>
        <i/>
        <sz val="10"/>
        <color theme="1"/>
        <rFont val="Arial"/>
      </rPr>
      <t>max height on all projectiles, Radiant Dance Machines</t>
    </r>
  </si>
  <si>
    <r>
      <rPr>
        <sz val="10"/>
        <color theme="1"/>
        <rFont val="Arial"/>
      </rPr>
      <t xml:space="preserve">Deathbringer
</t>
    </r>
    <r>
      <rPr>
        <i/>
        <sz val="10"/>
        <color theme="1"/>
        <rFont val="Arial"/>
      </rPr>
      <t>max height on all projectiles, Radiant Dance Machines</t>
    </r>
  </si>
  <si>
    <r>
      <rPr>
        <sz val="10"/>
        <color theme="1"/>
        <rFont val="Arial"/>
      </rPr>
      <t xml:space="preserve">Deathbringer
</t>
    </r>
    <r>
      <rPr>
        <i/>
        <sz val="10"/>
        <color theme="1"/>
        <rFont val="Arial"/>
      </rPr>
      <t>max height on all projectiles, Radiant Dance Machines</t>
    </r>
  </si>
  <si>
    <r>
      <rPr>
        <sz val="10"/>
        <color theme="1"/>
        <rFont val="Arial"/>
      </rPr>
      <t xml:space="preserve">Deathbringer
</t>
    </r>
    <r>
      <rPr>
        <i/>
        <sz val="10"/>
        <color theme="1"/>
        <rFont val="Arial"/>
      </rPr>
      <t>max height on all projectiles, Radiant Dance Machines</t>
    </r>
  </si>
  <si>
    <r>
      <rPr>
        <sz val="10"/>
        <color theme="1"/>
        <rFont val="Arial"/>
      </rPr>
      <t xml:space="preserve">Devil's Ruin
</t>
    </r>
    <r>
      <rPr>
        <i/>
        <sz val="10"/>
        <color theme="1"/>
        <rFont val="Arial"/>
      </rPr>
      <t>charged laser, Rain of Fire</t>
    </r>
  </si>
  <si>
    <t>burst 1</t>
  </si>
  <si>
    <r>
      <rPr>
        <sz val="10"/>
        <color theme="1"/>
        <rFont val="Arial"/>
      </rPr>
      <t xml:space="preserve">Devil's Ruin
</t>
    </r>
    <r>
      <rPr>
        <i/>
        <sz val="10"/>
        <color theme="1"/>
        <rFont val="Arial"/>
      </rPr>
      <t>charged laser, Rain of Fire</t>
    </r>
  </si>
  <si>
    <t>bursts 2-42</t>
  </si>
  <si>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</si>
  <si>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</si>
  <si>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</si>
  <si>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</si>
  <si>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</si>
  <si>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</si>
  <si>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</si>
  <si>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</si>
  <si>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</si>
  <si>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</si>
  <si>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</si>
  <si>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</si>
  <si>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</si>
  <si>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</si>
  <si>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</si>
  <si>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</si>
  <si>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</si>
  <si>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</si>
  <si>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Dimensional Hypotrochoid
</t>
    </r>
    <r>
      <rPr>
        <i/>
        <sz val="10"/>
        <color theme="1"/>
        <rFont val="Arial"/>
      </rPr>
      <t>Envious Assassin x15, Vorpal Weapon, Rain of Fire</t>
    </r>
  </si>
  <si>
    <t>shot 19 (RoF)</t>
  </si>
  <si>
    <r>
      <rPr>
        <sz val="10"/>
        <color theme="1"/>
        <rFont val="Arial"/>
      </rPr>
      <t xml:space="preserve">Divinity
</t>
    </r>
    <r>
      <rPr>
        <i/>
        <sz val="10"/>
        <color theme="1"/>
        <rFont val="Arial"/>
      </rPr>
      <t>Cenotaph Mask, perfect tapping</t>
    </r>
  </si>
  <si>
    <r>
      <rPr>
        <sz val="10"/>
        <color theme="1"/>
        <rFont val="Arial"/>
      </rPr>
      <t xml:space="preserve">Divinity
</t>
    </r>
    <r>
      <rPr>
        <i/>
        <sz val="10"/>
        <color theme="1"/>
        <rFont val="Arial"/>
      </rPr>
      <t>Cenotaph Mask, perfect tapping</t>
    </r>
  </si>
  <si>
    <t>shot 564</t>
  </si>
  <si>
    <r>
      <rPr>
        <sz val="10"/>
        <color theme="1"/>
        <rFont val="Arial"/>
      </rPr>
      <t xml:space="preserve">Divinity
</t>
    </r>
    <r>
      <rPr>
        <i/>
        <sz val="10"/>
        <color theme="1"/>
        <rFont val="Arial"/>
      </rPr>
      <t>Cenotaph Mask, sustained fire</t>
    </r>
  </si>
  <si>
    <r>
      <rPr>
        <sz val="10"/>
        <color theme="1"/>
        <rFont val="Arial"/>
      </rPr>
      <t xml:space="preserve">Divinity
</t>
    </r>
    <r>
      <rPr>
        <i/>
        <sz val="10"/>
        <color theme="1"/>
        <rFont val="Arial"/>
      </rPr>
      <t>Cenotaph Mask, sustained fire</t>
    </r>
  </si>
  <si>
    <r>
      <rPr>
        <sz val="10"/>
        <color theme="1"/>
        <rFont val="Arial"/>
      </rPr>
      <t xml:space="preserve">Forerunner
</t>
    </r>
    <r>
      <rPr>
        <i/>
        <sz val="10"/>
        <color theme="1"/>
        <rFont val="Arial"/>
      </rPr>
      <t>Rain of Fire</t>
    </r>
  </si>
  <si>
    <t>mag 1</t>
  </si>
  <si>
    <r>
      <rPr>
        <sz val="10"/>
        <color theme="1"/>
        <rFont val="Arial"/>
      </rPr>
      <t xml:space="preserve">Forerunner
</t>
    </r>
    <r>
      <rPr>
        <i/>
        <sz val="10"/>
        <color theme="1"/>
        <rFont val="Arial"/>
      </rPr>
      <t>Rain of Fire</t>
    </r>
  </si>
  <si>
    <t>mag 2</t>
  </si>
  <si>
    <r>
      <rPr>
        <sz val="10"/>
        <color theme="1"/>
        <rFont val="Arial"/>
      </rPr>
      <t xml:space="preserve">Forerunner
</t>
    </r>
    <r>
      <rPr>
        <i/>
        <sz val="10"/>
        <color theme="1"/>
        <rFont val="Arial"/>
      </rPr>
      <t>Rain of Fire</t>
    </r>
  </si>
  <si>
    <t>mag 3</t>
  </si>
  <si>
    <r>
      <rPr>
        <sz val="10"/>
        <color theme="1"/>
        <rFont val="Arial"/>
      </rPr>
      <t xml:space="preserve">Forerunner
</t>
    </r>
    <r>
      <rPr>
        <i/>
        <sz val="10"/>
        <color theme="1"/>
        <rFont val="Arial"/>
      </rPr>
      <t>Rain of Fire</t>
    </r>
  </si>
  <si>
    <t>mag 4</t>
  </si>
  <si>
    <r>
      <rPr>
        <sz val="10"/>
        <color theme="1"/>
        <rFont val="Arial"/>
      </rPr>
      <t xml:space="preserve">Forerunner
</t>
    </r>
    <r>
      <rPr>
        <i/>
        <sz val="10"/>
        <color theme="1"/>
        <rFont val="Arial"/>
      </rPr>
      <t>Rain of Fire</t>
    </r>
  </si>
  <si>
    <t>mag 5</t>
  </si>
  <si>
    <r>
      <rPr>
        <sz val="10"/>
        <color theme="1"/>
        <rFont val="Arial"/>
      </rPr>
      <t xml:space="preserve">Forerunner
</t>
    </r>
    <r>
      <rPr>
        <i/>
        <sz val="10"/>
        <color theme="1"/>
        <rFont val="Arial"/>
      </rPr>
      <t>Rain of Fire</t>
    </r>
  </si>
  <si>
    <t>mag 6</t>
  </si>
  <si>
    <r>
      <rPr>
        <sz val="10"/>
        <color theme="1"/>
        <rFont val="Arial"/>
      </rPr>
      <t xml:space="preserve">Forerunner
</t>
    </r>
    <r>
      <rPr>
        <i/>
        <sz val="10"/>
        <color theme="1"/>
        <rFont val="Arial"/>
      </rPr>
      <t>Rain of Fire</t>
    </r>
  </si>
  <si>
    <t>mag 7</t>
  </si>
  <si>
    <r>
      <rPr>
        <sz val="10"/>
        <color theme="1"/>
        <rFont val="Arial"/>
      </rPr>
      <t xml:space="preserve">Forerunner
</t>
    </r>
    <r>
      <rPr>
        <i/>
        <sz val="10"/>
        <color theme="1"/>
        <rFont val="Arial"/>
      </rPr>
      <t>Rain of Fire</t>
    </r>
  </si>
  <si>
    <t>shots 85-87</t>
  </si>
  <si>
    <r>
      <rPr>
        <sz val="10"/>
        <color theme="1"/>
        <rFont val="Arial"/>
      </rPr>
      <t xml:space="preserve">Fusion grenade
</t>
    </r>
    <r>
      <rPr>
        <i/>
        <sz val="10"/>
        <color theme="1"/>
        <rFont val="Arial"/>
      </rPr>
      <t>Death Throes x5, Touch of Flame, Ember of Ashes</t>
    </r>
  </si>
  <si>
    <t>nade 1</t>
  </si>
  <si>
    <r>
      <rPr>
        <sz val="10"/>
        <color theme="1"/>
        <rFont val="Arial"/>
      </rPr>
      <t xml:space="preserve">Fusion grenade
</t>
    </r>
    <r>
      <rPr>
        <i/>
        <sz val="10"/>
        <color theme="1"/>
        <rFont val="Arial"/>
      </rPr>
      <t>Death Throes x5, Touch of Flame, Ember of Ashes</t>
    </r>
  </si>
  <si>
    <t>nades 2-69</t>
  </si>
  <si>
    <r>
      <rPr>
        <sz val="10"/>
        <color theme="1"/>
        <rFont val="Arial"/>
      </rPr>
      <t xml:space="preserve">Gathering Storm
</t>
    </r>
    <r>
      <rPr>
        <i/>
        <sz val="10"/>
        <color theme="1"/>
        <rFont val="Arial"/>
      </rPr>
      <t>Feast of Light x4</t>
    </r>
  </si>
  <si>
    <t>impact</t>
  </si>
  <si>
    <r>
      <rPr>
        <sz val="10"/>
        <color theme="1"/>
        <rFont val="Arial"/>
      </rPr>
      <t xml:space="preserve">Gathering Storm
</t>
    </r>
    <r>
      <rPr>
        <i/>
        <sz val="10"/>
        <color theme="1"/>
        <rFont val="Arial"/>
      </rPr>
      <t>Feast of Light x4</t>
    </r>
  </si>
  <si>
    <t>ticks end</t>
  </si>
  <si>
    <r>
      <rPr>
        <sz val="10"/>
        <color theme="1"/>
        <rFont val="Arial"/>
      </rPr>
      <t xml:space="preserve">Gjallarhorn
</t>
    </r>
    <r>
      <rPr>
        <i/>
        <sz val="10"/>
        <color theme="1"/>
        <rFont val="Arial"/>
      </rPr>
      <t>Rain of Fire</t>
    </r>
  </si>
  <si>
    <r>
      <rPr>
        <sz val="10"/>
        <color theme="1"/>
        <rFont val="Arial"/>
      </rPr>
      <t xml:space="preserve">Gjallarhorn
</t>
    </r>
    <r>
      <rPr>
        <i/>
        <sz val="10"/>
        <color theme="1"/>
        <rFont val="Arial"/>
      </rPr>
      <t>Rain of Fire</t>
    </r>
  </si>
  <si>
    <r>
      <rPr>
        <sz val="10"/>
        <color theme="1"/>
        <rFont val="Arial"/>
      </rPr>
      <t xml:space="preserve">Gjallarhorn
</t>
    </r>
    <r>
      <rPr>
        <i/>
        <sz val="10"/>
        <color theme="1"/>
        <rFont val="Arial"/>
      </rPr>
      <t>Rain of Fire</t>
    </r>
  </si>
  <si>
    <r>
      <rPr>
        <sz val="10"/>
        <color theme="1"/>
        <rFont val="Arial"/>
      </rPr>
      <t xml:space="preserve">Gjallarhorn
</t>
    </r>
    <r>
      <rPr>
        <i/>
        <sz val="10"/>
        <color theme="1"/>
        <rFont val="Arial"/>
      </rPr>
      <t>Rain of Fire</t>
    </r>
  </si>
  <si>
    <r>
      <rPr>
        <sz val="10"/>
        <color theme="1"/>
        <rFont val="Arial"/>
      </rPr>
      <t xml:space="preserve">Gjallarhorn
</t>
    </r>
    <r>
      <rPr>
        <i/>
        <sz val="10"/>
        <color theme="1"/>
        <rFont val="Arial"/>
      </rPr>
      <t>Rain of Fire</t>
    </r>
  </si>
  <si>
    <r>
      <rPr>
        <sz val="10"/>
        <color theme="1"/>
        <rFont val="Arial"/>
      </rPr>
      <t xml:space="preserve">Gjallarhorn
</t>
    </r>
    <r>
      <rPr>
        <i/>
        <sz val="10"/>
        <color theme="1"/>
        <rFont val="Arial"/>
      </rPr>
      <t>Rain of Fire</t>
    </r>
  </si>
  <si>
    <r>
      <rPr>
        <sz val="10"/>
        <color theme="1"/>
        <rFont val="Arial"/>
      </rPr>
      <t xml:space="preserve">Gjallarhorn
</t>
    </r>
    <r>
      <rPr>
        <i/>
        <sz val="10"/>
        <color theme="1"/>
        <rFont val="Arial"/>
      </rPr>
      <t>Rain of Fire</t>
    </r>
  </si>
  <si>
    <r>
      <rPr>
        <sz val="10"/>
        <color theme="1"/>
        <rFont val="Arial"/>
      </rPr>
      <t xml:space="preserve">Gjallarhorn
</t>
    </r>
    <r>
      <rPr>
        <i/>
        <sz val="10"/>
        <color theme="1"/>
        <rFont val="Arial"/>
      </rPr>
      <t>Rain of Fire</t>
    </r>
  </si>
  <si>
    <r>
      <rPr>
        <sz val="10"/>
        <color theme="1"/>
        <rFont val="Arial"/>
      </rPr>
      <t xml:space="preserve">Gjallarhorn
</t>
    </r>
    <r>
      <rPr>
        <i/>
        <sz val="10"/>
        <color theme="1"/>
        <rFont val="Arial"/>
      </rPr>
      <t>Rain of Fire</t>
    </r>
  </si>
  <si>
    <r>
      <rPr>
        <sz val="10"/>
        <color theme="1"/>
        <rFont val="Arial"/>
      </rPr>
      <t xml:space="preserve">Gjallarhorn
</t>
    </r>
    <r>
      <rPr>
        <i/>
        <sz val="10"/>
        <color theme="1"/>
        <rFont val="Arial"/>
      </rPr>
      <t>Rain of Fire</t>
    </r>
  </si>
  <si>
    <r>
      <rPr>
        <sz val="10"/>
        <color theme="1"/>
        <rFont val="Arial"/>
      </rPr>
      <t xml:space="preserve">Golden Gun - Marksman
</t>
    </r>
    <r>
      <rPr>
        <i/>
        <sz val="10"/>
        <color theme="1"/>
        <rFont val="Arial"/>
      </rPr>
      <t>Celestial Nighthawk, Kinetic Surge x3</t>
    </r>
  </si>
  <si>
    <t>shot</t>
  </si>
  <si>
    <r>
      <rPr>
        <sz val="10"/>
        <color theme="1"/>
        <rFont val="Arial"/>
      </rPr>
      <t xml:space="preserve">Golden Gun - Marksman
</t>
    </r>
    <r>
      <rPr>
        <i/>
        <sz val="10"/>
        <color theme="1"/>
        <rFont val="Arial"/>
      </rPr>
      <t>Feast of Light x4, Kinetic Surge x3</t>
    </r>
  </si>
  <si>
    <r>
      <rPr>
        <sz val="10"/>
        <color theme="1"/>
        <rFont val="Arial"/>
      </rPr>
      <t xml:space="preserve">Golden Gun - Marksman
</t>
    </r>
    <r>
      <rPr>
        <i/>
        <sz val="10"/>
        <color theme="1"/>
        <rFont val="Arial"/>
      </rPr>
      <t>Feast of Light x4, Kinetic Surge x3</t>
    </r>
  </si>
  <si>
    <r>
      <rPr>
        <sz val="10"/>
        <color theme="1"/>
        <rFont val="Arial"/>
      </rPr>
      <t xml:space="preserve">Golden Gun - Marksman
</t>
    </r>
    <r>
      <rPr>
        <i/>
        <sz val="10"/>
        <color theme="1"/>
        <rFont val="Arial"/>
      </rPr>
      <t>Feast of Light x4, Kinetic Surge x3</t>
    </r>
  </si>
  <si>
    <r>
      <rPr>
        <sz val="10"/>
        <color theme="1"/>
        <rFont val="Arial"/>
      </rPr>
      <t xml:space="preserve">Grand Overture
</t>
    </r>
    <r>
      <rPr>
        <i/>
        <sz val="10"/>
        <color theme="1"/>
        <rFont val="Arial"/>
      </rPr>
      <t>Missiles Loaded x20</t>
    </r>
  </si>
  <si>
    <t>burst start</t>
  </si>
  <si>
    <r>
      <rPr>
        <sz val="10"/>
        <color theme="1"/>
        <rFont val="Arial"/>
      </rPr>
      <t xml:space="preserve">Grand Overture
</t>
    </r>
    <r>
      <rPr>
        <i/>
        <sz val="10"/>
        <color theme="1"/>
        <rFont val="Arial"/>
      </rPr>
      <t>Missiles Loaded x20</t>
    </r>
  </si>
  <si>
    <t>burst end</t>
  </si>
  <si>
    <r>
      <rPr>
        <sz val="10"/>
        <color theme="1"/>
        <rFont val="Arial"/>
      </rPr>
      <t xml:space="preserve">Heir Apparent
</t>
    </r>
    <r>
      <rPr>
        <i/>
        <sz val="10"/>
        <color theme="1"/>
        <rFont val="Arial"/>
      </rPr>
      <t>Actium War Rig</t>
    </r>
  </si>
  <si>
    <r>
      <rPr>
        <sz val="10"/>
        <color theme="1"/>
        <rFont val="Arial"/>
      </rPr>
      <t xml:space="preserve">Heir Apparent
</t>
    </r>
    <r>
      <rPr>
        <i/>
        <sz val="10"/>
        <color theme="1"/>
        <rFont val="Arial"/>
      </rPr>
      <t>Actium War Rig</t>
    </r>
  </si>
  <si>
    <t>shot 600</t>
  </si>
  <si>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</si>
  <si>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</si>
  <si>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</si>
  <si>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</si>
  <si>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</si>
  <si>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</si>
  <si>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</si>
  <si>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</si>
  <si>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</si>
  <si>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</si>
  <si>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</si>
  <si>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</si>
  <si>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</si>
  <si>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</si>
  <si>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</si>
  <si>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</si>
  <si>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</si>
  <si>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</si>
  <si>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charge MW, Accelerated Coils, Cornered + e. Surrounded (Midha's Reckoning),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</si>
  <si>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</si>
  <si>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</si>
  <si>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</si>
  <si>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</si>
  <si>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</si>
  <si>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</si>
  <si>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</si>
  <si>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</si>
  <si>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</si>
  <si>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</si>
  <si>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</si>
  <si>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</si>
  <si>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</si>
  <si>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</si>
  <si>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</si>
  <si>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</si>
  <si>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</si>
  <si>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</si>
  <si>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</si>
  <si>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Izanagi's Burden
</t>
    </r>
    <r>
      <rPr>
        <i/>
        <sz val="10"/>
        <color theme="1"/>
        <rFont val="Arial"/>
      </rPr>
      <t>including lockout (no swapping)</t>
    </r>
  </si>
  <si>
    <t>x4 shot 1</t>
  </si>
  <si>
    <r>
      <rPr>
        <sz val="10"/>
        <color theme="1"/>
        <rFont val="Arial"/>
      </rPr>
      <t xml:space="preserve">Izanagi's Burden
</t>
    </r>
    <r>
      <rPr>
        <i/>
        <sz val="10"/>
        <color theme="1"/>
        <rFont val="Arial"/>
      </rPr>
      <t>including lockout (no swapping)</t>
    </r>
  </si>
  <si>
    <t>x4 shot 2</t>
  </si>
  <si>
    <r>
      <rPr>
        <sz val="10"/>
        <color theme="1"/>
        <rFont val="Arial"/>
      </rPr>
      <t xml:space="preserve">Izanagi's Burden
</t>
    </r>
    <r>
      <rPr>
        <i/>
        <sz val="10"/>
        <color theme="1"/>
        <rFont val="Arial"/>
      </rPr>
      <t>including lockout (no swapping)</t>
    </r>
  </si>
  <si>
    <t>x4 shot 3</t>
  </si>
  <si>
    <r>
      <rPr>
        <sz val="10"/>
        <color theme="1"/>
        <rFont val="Arial"/>
      </rPr>
      <t xml:space="preserve">Izanagi's Burden
</t>
    </r>
    <r>
      <rPr>
        <i/>
        <sz val="10"/>
        <color theme="1"/>
        <rFont val="Arial"/>
      </rPr>
      <t>including lockout (no swapping)</t>
    </r>
  </si>
  <si>
    <t>x4 shot 4</t>
  </si>
  <si>
    <r>
      <rPr>
        <sz val="10"/>
        <color theme="1"/>
        <rFont val="Arial"/>
      </rPr>
      <t xml:space="preserve">Izanagi's Burden
</t>
    </r>
    <r>
      <rPr>
        <i/>
        <sz val="10"/>
        <color theme="1"/>
        <rFont val="Arial"/>
      </rPr>
      <t>including lockout (no swapping)</t>
    </r>
  </si>
  <si>
    <t>x4 shot 5</t>
  </si>
  <si>
    <r>
      <rPr>
        <sz val="10"/>
        <color theme="1"/>
        <rFont val="Arial"/>
      </rPr>
      <t xml:space="preserve">Izanagi's Burden
</t>
    </r>
    <r>
      <rPr>
        <i/>
        <sz val="10"/>
        <color theme="1"/>
        <rFont val="Arial"/>
      </rPr>
      <t>including lockout (no swapping)</t>
    </r>
  </si>
  <si>
    <t>x4 shot 6</t>
  </si>
  <si>
    <r>
      <rPr>
        <sz val="10"/>
        <color theme="1"/>
        <rFont val="Arial"/>
      </rPr>
      <t xml:space="preserve">Izanagi's Burden
</t>
    </r>
    <r>
      <rPr>
        <i/>
        <sz val="10"/>
        <color theme="1"/>
        <rFont val="Arial"/>
      </rPr>
      <t>including lockout (no swapping)</t>
    </r>
  </si>
  <si>
    <t>x3 shot</t>
  </si>
  <si>
    <t>application</t>
  </si>
  <si>
    <t>120 ticks</t>
  </si>
  <si>
    <r>
      <rPr>
        <sz val="10"/>
        <color theme="1"/>
        <rFont val="Arial"/>
      </rPr>
      <t xml:space="preserve">Legend of Acrius
</t>
    </r>
    <r>
      <rPr>
        <i/>
        <sz val="10"/>
        <color theme="1"/>
        <rFont val="Arial"/>
      </rPr>
      <t>Trench Barrel, 3x Loader</t>
    </r>
  </si>
  <si>
    <t>shot 1 (melee)</t>
  </si>
  <si>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</si>
  <si>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</si>
  <si>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</si>
  <si>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t>shot 4 (melee)</t>
  </si>
  <si>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</si>
  <si>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</si>
  <si>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</si>
  <si>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t>shot 7 (melee)</t>
  </si>
  <si>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</si>
  <si>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</si>
  <si>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</si>
  <si>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t>shot 10 (melee)</t>
  </si>
  <si>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</si>
  <si>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</si>
  <si>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</si>
  <si>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t>shot 13 (melee)</t>
  </si>
  <si>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</si>
  <si>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</si>
  <si>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</si>
  <si>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t>shot 16 (melee)</t>
  </si>
  <si>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</si>
  <si>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</si>
  <si>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r>
      <rPr>
        <sz val="10"/>
        <color theme="1"/>
        <rFont val="Arial"/>
      </rPr>
      <t xml:space="preserve">Legend of Acrius
</t>
    </r>
    <r>
      <rPr>
        <i/>
        <sz val="10"/>
        <color theme="1"/>
        <rFont val="Arial"/>
      </rPr>
      <t>Trench Barrel, 3x Loader</t>
    </r>
  </si>
  <si>
    <t>shot 19 (melee)</t>
  </si>
  <si>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</si>
  <si>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</si>
  <si>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</si>
  <si>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</si>
  <si>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</si>
  <si>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</si>
  <si>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</si>
  <si>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</si>
  <si>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</si>
  <si>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</si>
  <si>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</si>
  <si>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</si>
  <si>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</si>
  <si>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</si>
  <si>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Leviathan's Breath
</t>
    </r>
    <r>
      <rPr>
        <i/>
        <sz val="10"/>
        <color theme="1"/>
        <rFont val="Arial"/>
      </rPr>
      <t>Archer's Tempo, Lunafaction Boots, 3x Loader</t>
    </r>
  </si>
  <si>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</si>
  <si>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</si>
  <si>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</si>
  <si>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</si>
  <si>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</si>
  <si>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t>cycle 5</t>
  </si>
  <si>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</si>
  <si>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</si>
  <si>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</si>
  <si>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t>cycle 8 (RoF)</t>
  </si>
  <si>
    <r>
      <rPr>
        <sz val="10"/>
        <color theme="1"/>
        <rFont val="Arial"/>
      </rPr>
      <t xml:space="preserve">Lightweight frame shotgun swapping
</t>
    </r>
    <r>
      <rPr>
        <i/>
        <sz val="10"/>
        <color theme="1"/>
        <rFont val="Arial"/>
      </rPr>
      <t>Vorpal Weapon (Riiswalker), Surrounded (Xenoclast IV), body</t>
    </r>
  </si>
  <si>
    <t>cycle 9</t>
  </si>
  <si>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</si>
  <si>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</si>
  <si>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</si>
  <si>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</si>
  <si>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t>cycle 13</t>
  </si>
  <si>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</si>
  <si>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</si>
  <si>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t>cycle 15 (RoF)</t>
  </si>
  <si>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</si>
  <si>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</si>
  <si>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t>cycle 17</t>
  </si>
  <si>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</si>
  <si>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Lightweight frame shotgun swapping
</t>
    </r>
    <r>
      <rPr>
        <i/>
        <sz val="10"/>
        <color theme="1"/>
        <rFont val="Arial"/>
      </rPr>
      <t>Vorpal Weapon (Riiswalker), Surrounded (Xenoclast IV), body</t>
    </r>
  </si>
  <si>
    <r>
      <rPr>
        <sz val="10"/>
        <color theme="1"/>
        <rFont val="Arial"/>
      </rPr>
      <t xml:space="preserve">Lord of Wolves
</t>
    </r>
    <r>
      <rPr>
        <i/>
        <sz val="10"/>
        <color theme="1"/>
        <rFont val="Arial"/>
      </rPr>
      <t>Release the Wolves, body, Rain of Fire</t>
    </r>
  </si>
  <si>
    <r>
      <rPr>
        <sz val="10"/>
        <color theme="1"/>
        <rFont val="Arial"/>
      </rPr>
      <t xml:space="preserve">Lord of Wolves
</t>
    </r>
    <r>
      <rPr>
        <i/>
        <sz val="10"/>
        <color theme="1"/>
        <rFont val="Arial"/>
      </rPr>
      <t>Release the Wolves, body, Rain of Fire</t>
    </r>
  </si>
  <si>
    <t>burst 2</t>
  </si>
  <si>
    <r>
      <rPr>
        <sz val="10"/>
        <color theme="1"/>
        <rFont val="Arial"/>
      </rPr>
      <t xml:space="preserve">Lord of Wolves
</t>
    </r>
    <r>
      <rPr>
        <i/>
        <sz val="10"/>
        <color theme="1"/>
        <rFont val="Arial"/>
      </rPr>
      <t>Release the Wolves, body, Rain of Fire</t>
    </r>
  </si>
  <si>
    <t>burst 3</t>
  </si>
  <si>
    <r>
      <rPr>
        <sz val="10"/>
        <color theme="1"/>
        <rFont val="Arial"/>
      </rPr>
      <t xml:space="preserve">Lord of Wolves
</t>
    </r>
    <r>
      <rPr>
        <i/>
        <sz val="10"/>
        <color theme="1"/>
        <rFont val="Arial"/>
      </rPr>
      <t>Release the Wolves, body, Rain of Fire</t>
    </r>
  </si>
  <si>
    <t>burst 4</t>
  </si>
  <si>
    <r>
      <rPr>
        <sz val="10"/>
        <color theme="1"/>
        <rFont val="Arial"/>
      </rPr>
      <t xml:space="preserve">Malfeasance
</t>
    </r>
    <r>
      <rPr>
        <i/>
        <sz val="10"/>
        <color theme="1"/>
        <rFont val="Arial"/>
      </rPr>
      <t>Lucky Pants, 15 shot burst, blighted</t>
    </r>
  </si>
  <si>
    <r>
      <rPr>
        <sz val="10"/>
        <color theme="1"/>
        <rFont val="Arial"/>
      </rPr>
      <t xml:space="preserve">Malfeasance
</t>
    </r>
    <r>
      <rPr>
        <i/>
        <sz val="10"/>
        <color theme="1"/>
        <rFont val="Arial"/>
      </rPr>
      <t>Lucky Pants, 15 shot burst, blighted</t>
    </r>
  </si>
  <si>
    <r>
      <rPr>
        <sz val="10"/>
        <color theme="1"/>
        <rFont val="Arial"/>
      </rPr>
      <t xml:space="preserve">Merciless
</t>
    </r>
    <r>
      <rPr>
        <i/>
        <sz val="10"/>
        <color theme="1"/>
        <rFont val="Arial"/>
      </rPr>
      <t>Conserve Momentum x15, Impetus, manual reloads, Lunafaction Boots, 3x Loader</t>
    </r>
  </si>
  <si>
    <t>burst 1 shot 1</t>
  </si>
  <si>
    <r>
      <rPr>
        <sz val="10"/>
        <color theme="1"/>
        <rFont val="Arial"/>
      </rPr>
      <t xml:space="preserve">Merciless
</t>
    </r>
    <r>
      <rPr>
        <i/>
        <sz val="10"/>
        <color theme="1"/>
        <rFont val="Arial"/>
      </rPr>
      <t>Conserve Momentum x15, Impetus, manual reloads, Lunafaction Boots, 3x Loader</t>
    </r>
  </si>
  <si>
    <t>burst 1 shot 2</t>
  </si>
  <si>
    <r>
      <rPr>
        <sz val="10"/>
        <color theme="1"/>
        <rFont val="Arial"/>
      </rPr>
      <t xml:space="preserve">Merciless
</t>
    </r>
    <r>
      <rPr>
        <i/>
        <sz val="10"/>
        <color theme="1"/>
        <rFont val="Arial"/>
      </rPr>
      <t>Conserve Momentum x15, Impetus, manual reloads, Lunafaction Boots, 3x Loader</t>
    </r>
  </si>
  <si>
    <t>burst 1 shot 3</t>
  </si>
  <si>
    <r>
      <rPr>
        <sz val="10"/>
        <color theme="1"/>
        <rFont val="Arial"/>
      </rPr>
      <t xml:space="preserve">Merciless
</t>
    </r>
    <r>
      <rPr>
        <i/>
        <sz val="10"/>
        <color theme="1"/>
        <rFont val="Arial"/>
      </rPr>
      <t>Conserve Momentum x15, Impetus, manual reloads, Lunafaction Boots, 3x Loader</t>
    </r>
  </si>
  <si>
    <t>burst 1 shot 4</t>
  </si>
  <si>
    <r>
      <rPr>
        <sz val="10"/>
        <color theme="1"/>
        <rFont val="Arial"/>
      </rPr>
      <t xml:space="preserve">Merciless
</t>
    </r>
    <r>
      <rPr>
        <i/>
        <sz val="10"/>
        <color theme="1"/>
        <rFont val="Arial"/>
      </rPr>
      <t>Conserve Momentum x15, Impetus, manual reloads, Lunafaction Boots, 3x Loader</t>
    </r>
  </si>
  <si>
    <t>burst 1 shot 5</t>
  </si>
  <si>
    <r>
      <rPr>
        <sz val="10"/>
        <color theme="1"/>
        <rFont val="Arial"/>
      </rPr>
      <t xml:space="preserve">Merciless
</t>
    </r>
    <r>
      <rPr>
        <i/>
        <sz val="10"/>
        <color theme="1"/>
        <rFont val="Arial"/>
      </rPr>
      <t>Conserve Momentum x15, Impetus, manual reloads, Lunafaction Boots, 3x Loader</t>
    </r>
  </si>
  <si>
    <t>burst 1 shot 6</t>
  </si>
  <si>
    <r>
      <rPr>
        <sz val="10"/>
        <color theme="1"/>
        <rFont val="Arial"/>
      </rPr>
      <t xml:space="preserve">Merciless
</t>
    </r>
    <r>
      <rPr>
        <i/>
        <sz val="10"/>
        <color theme="1"/>
        <rFont val="Arial"/>
      </rPr>
      <t>Conserve Momentum x15, Impetus, manual reloads, Lunafaction Boots, 3x Loader</t>
    </r>
  </si>
  <si>
    <t>burst 1 shot 7</t>
  </si>
  <si>
    <r>
      <rPr>
        <sz val="10"/>
        <color theme="1"/>
        <rFont val="Arial"/>
      </rPr>
      <t xml:space="preserve">Merciless
</t>
    </r>
    <r>
      <rPr>
        <i/>
        <sz val="10"/>
        <color theme="1"/>
        <rFont val="Arial"/>
      </rPr>
      <t>Conserve Momentum x15, Impetus, manual reloads, Lunafaction Boots, 3x Loader</t>
    </r>
  </si>
  <si>
    <t>burst 2 shot 1</t>
  </si>
  <si>
    <r>
      <rPr>
        <sz val="10"/>
        <color theme="1"/>
        <rFont val="Arial"/>
      </rPr>
      <t xml:space="preserve">Merciless
</t>
    </r>
    <r>
      <rPr>
        <i/>
        <sz val="10"/>
        <color theme="1"/>
        <rFont val="Arial"/>
      </rPr>
      <t>Conserve Momentum x15, Impetus, manual reloads, Lunafaction Boots, 3x Loader</t>
    </r>
  </si>
  <si>
    <t>burst 2 shot 2</t>
  </si>
  <si>
    <r>
      <rPr>
        <sz val="10"/>
        <color theme="1"/>
        <rFont val="Arial"/>
      </rPr>
      <t xml:space="preserve">Merciless
</t>
    </r>
    <r>
      <rPr>
        <i/>
        <sz val="10"/>
        <color theme="1"/>
        <rFont val="Arial"/>
      </rPr>
      <t>Conserve Momentum x15, Impetus, manual reloads, Lunafaction Boots, 3x Loader</t>
    </r>
  </si>
  <si>
    <t>burst 2 shot 3</t>
  </si>
  <si>
    <r>
      <rPr>
        <sz val="10"/>
        <color theme="1"/>
        <rFont val="Arial"/>
      </rPr>
      <t xml:space="preserve">Merciless
</t>
    </r>
    <r>
      <rPr>
        <i/>
        <sz val="10"/>
        <color theme="1"/>
        <rFont val="Arial"/>
      </rPr>
      <t>Conserve Momentum x15, Impetus, manual reloads, Lunafaction Boots, 3x Loader</t>
    </r>
  </si>
  <si>
    <t>burst 2 shot 4</t>
  </si>
  <si>
    <r>
      <rPr>
        <sz val="10"/>
        <color theme="1"/>
        <rFont val="Arial"/>
      </rPr>
      <t xml:space="preserve">Merciless
</t>
    </r>
    <r>
      <rPr>
        <i/>
        <sz val="10"/>
        <color theme="1"/>
        <rFont val="Arial"/>
      </rPr>
      <t>Conserve Momentum x15, Impetus, manual reloads, Lunafaction Boots, 3x Loader</t>
    </r>
  </si>
  <si>
    <t>burst 2 shot 5</t>
  </si>
  <si>
    <r>
      <rPr>
        <sz val="10"/>
        <color theme="1"/>
        <rFont val="Arial"/>
      </rPr>
      <t xml:space="preserve">Merciless
</t>
    </r>
    <r>
      <rPr>
        <i/>
        <sz val="10"/>
        <color theme="1"/>
        <rFont val="Arial"/>
      </rPr>
      <t>Conserve Momentum x15, Impetus, manual reloads, Lunafaction Boots, 3x Loader</t>
    </r>
  </si>
  <si>
    <t>burst 2 shot 6</t>
  </si>
  <si>
    <r>
      <rPr>
        <sz val="10"/>
        <color theme="1"/>
        <rFont val="Arial"/>
      </rPr>
      <t xml:space="preserve">Merciless
</t>
    </r>
    <r>
      <rPr>
        <i/>
        <sz val="10"/>
        <color theme="1"/>
        <rFont val="Arial"/>
      </rPr>
      <t>Conserve Momentum x15, Impetus, manual reloads, Lunafaction Boots, 3x Loader</t>
    </r>
  </si>
  <si>
    <t>burst 2 shot 7</t>
  </si>
  <si>
    <r>
      <rPr>
        <sz val="10"/>
        <color theme="1"/>
        <rFont val="Arial"/>
      </rPr>
      <t xml:space="preserve">Merciless
</t>
    </r>
    <r>
      <rPr>
        <i/>
        <sz val="10"/>
        <color theme="1"/>
        <rFont val="Arial"/>
      </rPr>
      <t>Conserve Momentum x15, Impetus, manual reloads, Lunafaction Boots, 3x Loader</t>
    </r>
  </si>
  <si>
    <t>burst 3 shot 1</t>
  </si>
  <si>
    <r>
      <rPr>
        <sz val="10"/>
        <color theme="1"/>
        <rFont val="Arial"/>
      </rPr>
      <t xml:space="preserve">Merciless
</t>
    </r>
    <r>
      <rPr>
        <i/>
        <sz val="10"/>
        <color theme="1"/>
        <rFont val="Arial"/>
      </rPr>
      <t>Conserve Momentum x15, Impetus, manual reloads, Lunafaction Boots, 3x Loader</t>
    </r>
  </si>
  <si>
    <t>burst 3 shot 2</t>
  </si>
  <si>
    <r>
      <rPr>
        <sz val="10"/>
        <color theme="1"/>
        <rFont val="Arial"/>
      </rPr>
      <t xml:space="preserve">Merciless
</t>
    </r>
    <r>
      <rPr>
        <i/>
        <sz val="10"/>
        <color theme="1"/>
        <rFont val="Arial"/>
      </rPr>
      <t>Conserve Momentum x15, Impetus, manual reloads, Lunafaction Boots, 3x Loader</t>
    </r>
  </si>
  <si>
    <t>burst 3 shot 3</t>
  </si>
  <si>
    <r>
      <rPr>
        <sz val="10"/>
        <color theme="1"/>
        <rFont val="Arial"/>
      </rPr>
      <t xml:space="preserve">Merciless
</t>
    </r>
    <r>
      <rPr>
        <i/>
        <sz val="10"/>
        <color theme="1"/>
        <rFont val="Arial"/>
      </rPr>
      <t>Conserve Momentum x15, Impetus, manual reloads, Lunafaction Boots, 3x Loader</t>
    </r>
  </si>
  <si>
    <t>burst 3 shot 4</t>
  </si>
  <si>
    <r>
      <rPr>
        <sz val="10"/>
        <color theme="1"/>
        <rFont val="Arial"/>
      </rPr>
      <t xml:space="preserve">Merciless
</t>
    </r>
    <r>
      <rPr>
        <i/>
        <sz val="10"/>
        <color theme="1"/>
        <rFont val="Arial"/>
      </rPr>
      <t>Conserve Momentum x15, Impetus, manual reloads, Lunafaction Boots, 3x Loader</t>
    </r>
  </si>
  <si>
    <t>burst 3 shot 5</t>
  </si>
  <si>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</si>
  <si>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</si>
  <si>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</si>
  <si>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</si>
  <si>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</si>
  <si>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</si>
  <si>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</si>
  <si>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</si>
  <si>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</si>
  <si>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</si>
  <si>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</si>
  <si>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</si>
  <si>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</si>
  <si>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</si>
  <si>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</si>
  <si>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</si>
  <si>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</si>
  <si>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</si>
  <si>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Radiant Dance Machines</t>
    </r>
  </si>
  <si>
    <t>threadlings attach</t>
  </si>
  <si>
    <t>threadlings explode</t>
  </si>
  <si>
    <t>main explosion</t>
  </si>
  <si>
    <t>seekers detonate</t>
  </si>
  <si>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</si>
  <si>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</si>
  <si>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</si>
  <si>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</si>
  <si>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</si>
  <si>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</si>
  <si>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</si>
  <si>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</si>
  <si>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</si>
  <si>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t>explosion 5 (RoF)</t>
  </si>
  <si>
    <r>
      <rPr>
        <sz val="10"/>
        <color theme="1"/>
        <rFont val="Arial"/>
      </rPr>
      <t xml:space="preserve">One Thousand Voices
</t>
    </r>
    <r>
      <rPr>
        <i/>
        <sz val="10"/>
        <color theme="1"/>
        <rFont val="Arial"/>
      </rPr>
      <t>Ember of Ashes, Rain of Fire</t>
    </r>
  </si>
  <si>
    <t>ignition 5 (RoF)</t>
  </si>
  <si>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</si>
  <si>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</si>
  <si>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</si>
  <si>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</si>
  <si>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</si>
  <si>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One Thousand Voices
</t>
    </r>
    <r>
      <rPr>
        <i/>
        <sz val="10"/>
        <color theme="1"/>
        <rFont val="Arial"/>
      </rPr>
      <t>Ember of Ashes, Rain of Fire</t>
    </r>
  </si>
  <si>
    <r>
      <rPr>
        <sz val="10"/>
        <color theme="1"/>
        <rFont val="Arial"/>
      </rPr>
      <t xml:space="preserve">Parasite
</t>
    </r>
    <r>
      <rPr>
        <i/>
        <sz val="10"/>
        <color theme="1"/>
        <rFont val="Arial"/>
      </rPr>
      <t>Worm's Hunger x20, Rain of Fire, Lunafaction Boots, 3x Loader</t>
    </r>
  </si>
  <si>
    <t>x20 shot 1</t>
  </si>
  <si>
    <r>
      <rPr>
        <sz val="10"/>
        <color theme="1"/>
        <rFont val="Arial"/>
      </rPr>
      <t xml:space="preserve">Parasite
</t>
    </r>
    <r>
      <rPr>
        <i/>
        <sz val="10"/>
        <color theme="1"/>
        <rFont val="Arial"/>
      </rPr>
      <t>Worm's Hunger x20, Rain of Fire, Lunafaction Boots, 3x Loader</t>
    </r>
  </si>
  <si>
    <t>x0 shot 1 (RoF)</t>
  </si>
  <si>
    <r>
      <rPr>
        <sz val="10"/>
        <color theme="1"/>
        <rFont val="Arial"/>
      </rPr>
      <t xml:space="preserve">Parasite
</t>
    </r>
    <r>
      <rPr>
        <i/>
        <sz val="10"/>
        <color theme="1"/>
        <rFont val="Arial"/>
      </rPr>
      <t>Worm's Hunger x20, Rain of Fire, Lunafaction Boots, 3x Loader</t>
    </r>
  </si>
  <si>
    <t>x0 shot 2 (RoF)</t>
  </si>
  <si>
    <r>
      <rPr>
        <sz val="10"/>
        <color theme="1"/>
        <rFont val="Arial"/>
      </rPr>
      <t xml:space="preserve">Parasite
</t>
    </r>
    <r>
      <rPr>
        <i/>
        <sz val="10"/>
        <color theme="1"/>
        <rFont val="Arial"/>
      </rPr>
      <t>Worm's Hunger x20, Rain of Fire, Lunafaction Boots, 3x Loader</t>
    </r>
  </si>
  <si>
    <t>x0 shot 3 (manual)</t>
  </si>
  <si>
    <r>
      <rPr>
        <sz val="10"/>
        <color theme="1"/>
        <rFont val="Arial"/>
      </rPr>
      <t xml:space="preserve">Parasite
</t>
    </r>
    <r>
      <rPr>
        <i/>
        <sz val="10"/>
        <color theme="1"/>
        <rFont val="Arial"/>
      </rPr>
      <t>Worm's Hunger x20, Rain of Fire, Lunafaction Boots, 3x Loader</t>
    </r>
  </si>
  <si>
    <t>x0 shot 4 (manual)</t>
  </si>
  <si>
    <r>
      <rPr>
        <sz val="10"/>
        <color theme="1"/>
        <rFont val="Arial"/>
      </rPr>
      <t xml:space="preserve">Parasite
</t>
    </r>
    <r>
      <rPr>
        <i/>
        <sz val="10"/>
        <color theme="1"/>
        <rFont val="Arial"/>
      </rPr>
      <t>Worm's Hunger x20, Rain of Fire, Lunafaction Boots, 3x Loader</t>
    </r>
  </si>
  <si>
    <t>x0 shot 5 (RoF)</t>
  </si>
  <si>
    <r>
      <rPr>
        <sz val="10"/>
        <color theme="1"/>
        <rFont val="Arial"/>
      </rPr>
      <t xml:space="preserve">Parasite
</t>
    </r>
    <r>
      <rPr>
        <i/>
        <sz val="10"/>
        <color theme="1"/>
        <rFont val="Arial"/>
      </rPr>
      <t>Worm's Hunger x20, Rain of Fire, Lunafaction Boots, 3x Loader</t>
    </r>
  </si>
  <si>
    <t>x0 shot 6 (RoF)</t>
  </si>
  <si>
    <r>
      <rPr>
        <sz val="10"/>
        <color theme="1"/>
        <rFont val="Arial"/>
      </rPr>
      <t xml:space="preserve">Parasite
</t>
    </r>
    <r>
      <rPr>
        <i/>
        <sz val="10"/>
        <color theme="1"/>
        <rFont val="Arial"/>
      </rPr>
      <t>Worm's Hunger x20, Rain of Fire, Lunafaction Boots, 3x Loader</t>
    </r>
  </si>
  <si>
    <t>x0 shot 7 (manual)</t>
  </si>
  <si>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</si>
  <si>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</si>
  <si>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</si>
  <si>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</si>
  <si>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</si>
  <si>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</si>
  <si>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</si>
  <si>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t>cycle 7 (RoF)</t>
  </si>
  <si>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</si>
  <si>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</si>
  <si>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</si>
  <si>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</si>
  <si>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</si>
  <si>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</si>
  <si>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</si>
  <si>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</si>
  <si>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</si>
  <si>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</si>
  <si>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</si>
  <si>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</si>
  <si>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t>cycle 19 (RoF)</t>
  </si>
  <si>
    <r>
      <rPr>
        <sz val="10"/>
        <color theme="1"/>
        <rFont val="Arial"/>
      </rPr>
      <t xml:space="preserve">Pinpoint slug frame shotgun swapping
</t>
    </r>
    <r>
      <rPr>
        <i/>
        <sz val="10"/>
        <color theme="1"/>
        <rFont val="Arial"/>
      </rPr>
      <t>Surrounded (Fortissimo-11), Surrounded (Sojourner's Tale)</t>
    </r>
  </si>
  <si>
    <r>
      <rPr>
        <sz val="10"/>
        <color theme="1"/>
        <rFont val="Arial"/>
      </rPr>
      <t xml:space="preserve">Pinpoint slug frame shotgun swapping
</t>
    </r>
    <r>
      <rPr>
        <i/>
        <sz val="10"/>
        <color theme="1"/>
        <rFont val="Arial"/>
      </rPr>
      <t>Surrounded (Fortissimo-11), Surrounded (Sojourner's Tale)</t>
    </r>
  </si>
  <si>
    <t>cycle 21</t>
  </si>
  <si>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</si>
  <si>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</si>
  <si>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</si>
  <si>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</si>
  <si>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</si>
  <si>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</si>
  <si>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</si>
  <si>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</si>
  <si>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</si>
  <si>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</si>
  <si>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</si>
  <si>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</si>
  <si>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</si>
  <si>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</si>
  <si>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</si>
  <si>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</si>
  <si>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</si>
  <si>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</si>
  <si>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</si>
  <si>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</si>
  <si>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</si>
  <si>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</si>
  <si>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</si>
  <si>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t>shot 23 (RoF)</t>
  </si>
  <si>
    <r>
      <rPr>
        <sz val="10"/>
        <color theme="1"/>
        <rFont val="Arial"/>
      </rPr>
      <t xml:space="preserve">Precision linear fusion rifle
</t>
    </r>
    <r>
      <rPr>
        <i/>
        <sz val="10"/>
        <color theme="1"/>
        <rFont val="Arial"/>
      </rPr>
      <t>e. Fourth Time's the Charm + e. Bait and Switch (Cataclysmic), Rain of Fire, Witherhoard/trace swaps</t>
    </r>
  </si>
  <si>
    <r>
      <rPr>
        <sz val="10"/>
        <color theme="1"/>
        <rFont val="Arial"/>
      </rPr>
      <t xml:space="preserve">Precision linear fusion rifle
</t>
    </r>
    <r>
      <rPr>
        <i/>
        <sz val="10"/>
        <color theme="1"/>
        <rFont val="Arial"/>
      </rPr>
      <t>e. Fourth Time's the Charm + e. Bait and Switch (Cataclysmic), Rain of Fire, Witherhoard/trace swaps</t>
    </r>
  </si>
  <si>
    <t>shot 25</t>
  </si>
  <si>
    <r>
      <rPr>
        <sz val="10"/>
        <color theme="1"/>
        <rFont val="Arial"/>
      </rPr>
      <t xml:space="preserve">Precision linear fusion rifle
</t>
    </r>
    <r>
      <rPr>
        <i/>
        <sz val="10"/>
        <color theme="1"/>
        <rFont val="Arial"/>
      </rPr>
      <t>e. Fourth Time's the Charm + e. Bait and Switch (Cataclysmic), Rain of Fire, Witherhoard/trace swaps</t>
    </r>
  </si>
  <si>
    <t>shot 26</t>
  </si>
  <si>
    <r>
      <rPr>
        <sz val="10"/>
        <color theme="1"/>
        <rFont val="Arial"/>
      </rPr>
      <t xml:space="preserve">Precision linear fusion rifle
</t>
    </r>
    <r>
      <rPr>
        <i/>
        <sz val="10"/>
        <color theme="1"/>
        <rFont val="Arial"/>
      </rPr>
      <t>e. Fourth Time's the Charm + e. Bait and Switch (Cataclysmic), Rain of Fire, Witherhoard/trace swaps</t>
    </r>
  </si>
  <si>
    <t>shot 27</t>
  </si>
  <si>
    <r>
      <rPr>
        <sz val="10"/>
        <color theme="1"/>
        <rFont val="Arial"/>
      </rPr>
      <t xml:space="preserve">Precision linear fusion rifle
</t>
    </r>
    <r>
      <rPr>
        <i/>
        <sz val="10"/>
        <color theme="1"/>
        <rFont val="Arial"/>
      </rPr>
      <t>e. Fourth Time's the Charm + e. Bait and Switch (Cataclysmic), Rain of Fire, Witherhoard/trace swaps</t>
    </r>
  </si>
  <si>
    <t>shot 28</t>
  </si>
  <si>
    <r>
      <rPr>
        <sz val="10"/>
        <color theme="1"/>
        <rFont val="Arial"/>
      </rPr>
      <t xml:space="preserve">Precision linear fusion rifle
</t>
    </r>
    <r>
      <rPr>
        <i/>
        <sz val="10"/>
        <color theme="1"/>
        <rFont val="Arial"/>
      </rPr>
      <t>e. Fourth Time's the Charm + e. Bait and Switch (Cataclysmic), Rain of Fire, Witherhoard/trace swaps</t>
    </r>
  </si>
  <si>
    <t>shot 29</t>
  </si>
  <si>
    <r>
      <rPr>
        <sz val="10"/>
        <color theme="1"/>
        <rFont val="Arial"/>
      </rPr>
      <t xml:space="preserve">Precision linear fusion rifle
</t>
    </r>
    <r>
      <rPr>
        <i/>
        <sz val="10"/>
        <color theme="1"/>
        <rFont val="Arial"/>
      </rPr>
      <t>e. Fourth Time's the Charm + e. Bait and Switch (Cataclysmic), Rain of Fire, Witherhoard/trace swaps</t>
    </r>
  </si>
  <si>
    <t>shot 30</t>
  </si>
  <si>
    <r>
      <rPr>
        <sz val="10"/>
        <color theme="1"/>
        <rFont val="Arial"/>
      </rPr>
      <t xml:space="preserve">Precision linear fusion rifle
</t>
    </r>
    <r>
      <rPr>
        <i/>
        <sz val="10"/>
        <color theme="1"/>
        <rFont val="Arial"/>
      </rPr>
      <t>e. Fourth Time's the Charm + e. Bait and Switch (Cataclysmic), Rain of Fire, Witherhoard/trace swaps</t>
    </r>
  </si>
  <si>
    <t>shot 31</t>
  </si>
  <si>
    <r>
      <rPr>
        <sz val="10"/>
        <color theme="1"/>
        <rFont val="Arial"/>
      </rPr>
      <t xml:space="preserve">Precision linear fusion rifle
</t>
    </r>
    <r>
      <rPr>
        <i/>
        <sz val="10"/>
        <color theme="1"/>
        <rFont val="Arial"/>
      </rPr>
      <t>e. Fourth Time's the Charm + e. Bait and Switch (Cataclysmic), Rain of Fire, Witherhoard/trace swaps</t>
    </r>
  </si>
  <si>
    <t>shot 32</t>
  </si>
  <si>
    <r>
      <rPr>
        <sz val="10"/>
        <color theme="1"/>
        <rFont val="Arial"/>
      </rPr>
      <t xml:space="preserve">Precision linear fusion rifle
</t>
    </r>
    <r>
      <rPr>
        <i/>
        <sz val="10"/>
        <color theme="1"/>
        <rFont val="Arial"/>
      </rPr>
      <t>e. Fourth Time's the Charm + e. Bait and Switch (Cataclysmic), Rain of Fire, Witherhoard/trace swaps</t>
    </r>
  </si>
  <si>
    <t>shot 33</t>
  </si>
  <si>
    <r>
      <rPr>
        <sz val="10"/>
        <color theme="1"/>
        <rFont val="Arial"/>
      </rPr>
      <t xml:space="preserve">Precision linear fusion rifle
</t>
    </r>
    <r>
      <rPr>
        <i/>
        <sz val="10"/>
        <color theme="1"/>
        <rFont val="Arial"/>
      </rPr>
      <t>e. Fourth Time's the Charm + e. Bait and Switch (Cataclysmic), Rain of Fire, Witherhoard/trace swaps</t>
    </r>
  </si>
  <si>
    <t>shot 34</t>
  </si>
  <si>
    <r>
      <rPr>
        <sz val="10"/>
        <color theme="1"/>
        <rFont val="Arial"/>
      </rPr>
      <t xml:space="preserve">Precision linear fusion rifle
</t>
    </r>
    <r>
      <rPr>
        <i/>
        <sz val="10"/>
        <color theme="1"/>
        <rFont val="Arial"/>
      </rPr>
      <t>e. Fourth Time's the Charm + e. Bait and Switch (Cataclysmic), Rain of Fire, Witherhoard/trace swaps</t>
    </r>
  </si>
  <si>
    <t>shot 35 (RoF)</t>
  </si>
  <si>
    <r>
      <rPr>
        <sz val="10"/>
        <color theme="1"/>
        <rFont val="Arial"/>
      </rPr>
      <t xml:space="preserve">Precision linear fusion rifle
</t>
    </r>
    <r>
      <rPr>
        <i/>
        <sz val="10"/>
        <color theme="1"/>
        <rFont val="Arial"/>
      </rPr>
      <t>e. Fourth Time's the Charm + e. Bait and Switch (Cataclysmic), Rain of Fire, Witherhoard/trace swaps</t>
    </r>
  </si>
  <si>
    <t>shot 36</t>
  </si>
  <si>
    <r>
      <rPr>
        <sz val="10"/>
        <color theme="1"/>
        <rFont val="Arial"/>
      </rPr>
      <t xml:space="preserve">Precision linear fusion rifle
</t>
    </r>
    <r>
      <rPr>
        <i/>
        <sz val="10"/>
        <color theme="1"/>
        <rFont val="Arial"/>
      </rPr>
      <t>e. Fourth Time's the Charm + e. Bait and Switch (Cataclysmic), Rain of Fire, Witherhoard/trace swaps</t>
    </r>
  </si>
  <si>
    <t>shot 37</t>
  </si>
  <si>
    <r>
      <rPr>
        <sz val="10"/>
        <color theme="1"/>
        <rFont val="Arial"/>
      </rPr>
      <t xml:space="preserve">Precision linear fusion rifle
</t>
    </r>
    <r>
      <rPr>
        <i/>
        <sz val="10"/>
        <color theme="1"/>
        <rFont val="Arial"/>
      </rPr>
      <t>e. Fourth Time's the Charm + e. Bait and Switch (Cataclysmic), Rain of Fire, Witherhoard/trace swaps</t>
    </r>
  </si>
  <si>
    <t>shot 38</t>
  </si>
  <si>
    <r>
      <rPr>
        <sz val="10"/>
        <color theme="1"/>
        <rFont val="Arial"/>
      </rPr>
      <t xml:space="preserve">Precision linear fusion rifle
</t>
    </r>
    <r>
      <rPr>
        <i/>
        <sz val="10"/>
        <color theme="1"/>
        <rFont val="Arial"/>
      </rPr>
      <t>e. Fourth Time's the Charm + e. Bait and Switch (Cataclysmic), Rain of Fire, Witherhoard/trace swaps</t>
    </r>
  </si>
  <si>
    <t>shot 39</t>
  </si>
  <si>
    <r>
      <rPr>
        <sz val="10"/>
        <color theme="1"/>
        <rFont val="Arial"/>
      </rPr>
      <t xml:space="preserve">Precision linear fusion rifle
</t>
    </r>
    <r>
      <rPr>
        <i/>
        <sz val="10"/>
        <color theme="1"/>
        <rFont val="Arial"/>
      </rPr>
      <t>e. Fourth Time's the Charm + e. Bait and Switch (Cataclysmic), Rain of Fire, Witherhoard/trace swaps</t>
    </r>
  </si>
  <si>
    <t>shot 40</t>
  </si>
  <si>
    <r>
      <rPr>
        <sz val="10"/>
        <color theme="1"/>
        <rFont val="Arial"/>
      </rPr>
      <t xml:space="preserve">Precision linear fusion rifle
</t>
    </r>
    <r>
      <rPr>
        <i/>
        <sz val="10"/>
        <color theme="1"/>
        <rFont val="Arial"/>
      </rPr>
      <t>e. Fourth Time's the Charm + e. Bait and Switch (Cataclysmic), Rain of Fire, Witherhoard/trace swaps</t>
    </r>
  </si>
  <si>
    <t>shot 41</t>
  </si>
  <si>
    <r>
      <rPr>
        <sz val="10"/>
        <color theme="1"/>
        <rFont val="Arial"/>
      </rPr>
      <t xml:space="preserve">Precision linear fusion rifle
</t>
    </r>
    <r>
      <rPr>
        <i/>
        <sz val="10"/>
        <color theme="1"/>
        <rFont val="Arial"/>
      </rPr>
      <t>e. Fourth Time's the Charm + e. Bait and Switch (Cataclysmic), Rain of Fire, Witherhoard/trace swaps</t>
    </r>
  </si>
  <si>
    <t>shot 42</t>
  </si>
  <si>
    <r>
      <rPr>
        <sz val="10"/>
        <color theme="1"/>
        <rFont val="Arial"/>
      </rPr>
      <t xml:space="preserve">Precision linear fusion rifle
</t>
    </r>
    <r>
      <rPr>
        <i/>
        <sz val="10"/>
        <color theme="1"/>
        <rFont val="Arial"/>
      </rPr>
      <t>e. Fourth Time's the Charm + e. Bait and Switch (Cataclysmic), Rain of Fire, Witherhoard/trace swaps</t>
    </r>
  </si>
  <si>
    <t>shot 43</t>
  </si>
  <si>
    <r>
      <rPr>
        <sz val="10"/>
        <color theme="1"/>
        <rFont val="Arial"/>
      </rPr>
      <t xml:space="preserve">Pulse grenade
</t>
    </r>
    <r>
      <rPr>
        <i/>
        <sz val="10"/>
        <color theme="1"/>
        <rFont val="Arial"/>
      </rPr>
      <t>Empowered Grenade x2, Touch of Thunder</t>
    </r>
  </si>
  <si>
    <r>
      <rPr>
        <sz val="10"/>
        <color theme="1"/>
        <rFont val="Arial"/>
      </rPr>
      <t xml:space="preserve">Pulse grenade
</t>
    </r>
    <r>
      <rPr>
        <i/>
        <sz val="10"/>
        <color theme="1"/>
        <rFont val="Arial"/>
      </rPr>
      <t>Empowered Grenade x2, Touch of Thunder</t>
    </r>
  </si>
  <si>
    <t>nades 2-68</t>
  </si>
  <si>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</si>
  <si>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</si>
  <si>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</si>
  <si>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</si>
  <si>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</si>
  <si>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</si>
  <si>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</si>
  <si>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</si>
  <si>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t>shot 8 (RoF)</t>
  </si>
  <si>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</si>
  <si>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</si>
  <si>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</si>
  <si>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</si>
  <si>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</si>
  <si>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</si>
  <si>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</si>
  <si>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t>shot 15 (RoF)</t>
  </si>
  <si>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</si>
  <si>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</si>
  <si>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</si>
  <si>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</si>
  <si>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</si>
  <si>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</si>
  <si>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fusion
</t>
    </r>
    <r>
      <rPr>
        <i/>
        <sz val="10"/>
        <color theme="1"/>
        <rFont val="Arial"/>
      </rPr>
      <t>Charge MW, Accelerated Coils, Vorpal Weapon (Cartesian Coordinate), Rain of Fire</t>
    </r>
  </si>
  <si>
    <t>shot 22 (RoF)</t>
  </si>
  <si>
    <r>
      <rPr>
        <sz val="10"/>
        <color theme="1"/>
        <rFont val="Arial"/>
      </rPr>
      <t xml:space="preserve">Rapid-fire frame grenade launcher
</t>
    </r>
    <r>
      <rPr>
        <i/>
        <sz val="10"/>
        <color theme="1"/>
        <rFont val="Arial"/>
      </rPr>
      <t>Spike Grenades, Envious Assassin x15 + e. Surrounded (Koraxis' Distress), Harmonic Resonance x2</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</si>
  <si>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</si>
  <si>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</si>
  <si>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</si>
  <si>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</si>
  <si>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</si>
  <si>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</si>
  <si>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</si>
  <si>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</si>
  <si>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</si>
  <si>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</si>
  <si>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</si>
  <si>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</si>
  <si>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</si>
  <si>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</si>
  <si>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</si>
  <si>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</si>
  <si>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</si>
  <si>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</si>
  <si>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</si>
  <si>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</si>
  <si>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</si>
  <si>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grenade launcher
</t>
    </r>
    <r>
      <rPr>
        <i/>
        <sz val="10"/>
        <color theme="1"/>
        <rFont val="Arial"/>
      </rPr>
      <t>Spike Grenades, Envious Assassin x15 + e. Surrounded (Koraxis' Distress), Harmonic Resonance x3</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</si>
  <si>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</si>
  <si>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</si>
  <si>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</si>
  <si>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</si>
  <si>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</si>
  <si>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</si>
  <si>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</si>
  <si>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</si>
  <si>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</si>
  <si>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t>shot 9 (RoF)</t>
  </si>
  <si>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</si>
  <si>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</si>
  <si>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</si>
  <si>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</si>
  <si>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</si>
  <si>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</si>
  <si>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</si>
  <si>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</si>
  <si>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t>shot 17 (RoF)</t>
  </si>
  <si>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</si>
  <si>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</si>
  <si>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</si>
  <si>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</si>
  <si>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</si>
  <si>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</si>
  <si>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</si>
  <si>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</si>
  <si>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t>shot 25 (RoF)</t>
  </si>
  <si>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</si>
  <si>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</si>
  <si>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shotgun
</t>
    </r>
    <r>
      <rPr>
        <i/>
        <sz val="10"/>
        <color theme="1"/>
        <rFont val="Arial"/>
      </rPr>
      <t>e. Surrounded (IKELOS_SG_V1.0.3), Rain of Fire, body</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</si>
  <si>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</si>
  <si>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</si>
  <si>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</si>
  <si>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</si>
  <si>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</si>
  <si>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</si>
  <si>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</si>
  <si>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</si>
  <si>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</si>
  <si>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</si>
  <si>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</si>
  <si>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</si>
  <si>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</si>
  <si>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</si>
  <si>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</si>
  <si>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</si>
  <si>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</si>
  <si>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</si>
  <si>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</si>
  <si>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</si>
  <si>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</si>
  <si>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t>shot 21 (swap)</t>
  </si>
  <si>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</si>
  <si>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</si>
  <si>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</si>
  <si>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</si>
  <si>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</si>
  <si>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</si>
  <si>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</si>
  <si>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</si>
  <si>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</si>
  <si>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</si>
  <si>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</si>
  <si>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</si>
  <si>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</si>
  <si>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Rapid-fire frame sniper
</t>
    </r>
    <r>
      <rPr>
        <i/>
        <sz val="10"/>
        <color theme="1"/>
        <rFont val="Arial"/>
      </rPr>
      <t>e. Rewind Rounds + e. Bait and Switch (The Supremacy), Rain of Fire</t>
    </r>
  </si>
  <si>
    <t>shot 35</t>
  </si>
  <si>
    <r>
      <rPr>
        <sz val="10"/>
        <color theme="1"/>
        <rFont val="Arial"/>
      </rPr>
      <t xml:space="preserve">Retrofit Escapade
</t>
    </r>
    <r>
      <rPr>
        <i/>
        <sz val="10"/>
        <color theme="1"/>
        <rFont val="Arial"/>
      </rPr>
      <t>e. Target Lock, Gyrfalcon's Hauberk, Lunafaction Boots, 3x Loader</t>
    </r>
  </si>
  <si>
    <r>
      <rPr>
        <sz val="10"/>
        <color theme="1"/>
        <rFont val="Arial"/>
      </rPr>
      <t xml:space="preserve">Retrofit Escapade
</t>
    </r>
    <r>
      <rPr>
        <i/>
        <sz val="10"/>
        <color theme="1"/>
        <rFont val="Arial"/>
      </rPr>
      <t>e. Target Lock, Gyrfalcon's Hauberk, Lunafaction Boots, 3x Loader</t>
    </r>
  </si>
  <si>
    <r>
      <rPr>
        <sz val="10"/>
        <color theme="1"/>
        <rFont val="Arial"/>
      </rPr>
      <t xml:space="preserve">Retrofit Escapade
</t>
    </r>
    <r>
      <rPr>
        <i/>
        <sz val="10"/>
        <color theme="1"/>
        <rFont val="Arial"/>
      </rPr>
      <t>e. Target Lock, Gyrfalcon's Hauberk, Lunafaction Boots, 3x Loader</t>
    </r>
  </si>
  <si>
    <r>
      <rPr>
        <sz val="10"/>
        <color theme="1"/>
        <rFont val="Arial"/>
      </rPr>
      <t xml:space="preserve">Retrofit Escapade
</t>
    </r>
    <r>
      <rPr>
        <i/>
        <sz val="10"/>
        <color theme="1"/>
        <rFont val="Arial"/>
      </rPr>
      <t>e. Target Lock, Gyrfalcon's Hauberk, Lunafaction Boots, 3x Loader</t>
    </r>
  </si>
  <si>
    <r>
      <rPr>
        <sz val="10"/>
        <color theme="1"/>
        <rFont val="Arial"/>
      </rPr>
      <t xml:space="preserve">Retrofit Escapade
</t>
    </r>
    <r>
      <rPr>
        <i/>
        <sz val="10"/>
        <color theme="1"/>
        <rFont val="Arial"/>
      </rPr>
      <t>e. Target Lock, Gyrfalcon's Hauberk, Lunafaction Boots, 3x Loader</t>
    </r>
  </si>
  <si>
    <r>
      <rPr>
        <sz val="10"/>
        <color theme="1"/>
        <rFont val="Arial"/>
      </rPr>
      <t xml:space="preserve">Retrofit Escapade
</t>
    </r>
    <r>
      <rPr>
        <i/>
        <sz val="10"/>
        <color theme="1"/>
        <rFont val="Arial"/>
      </rPr>
      <t>e. Target Lock, Gyrfalcon's Hauberk, Lunafaction Boots, 3x Loader</t>
    </r>
  </si>
  <si>
    <r>
      <rPr>
        <sz val="10"/>
        <color theme="1"/>
        <rFont val="Arial"/>
      </rPr>
      <t xml:space="preserve">Retrofit Escapade
</t>
    </r>
    <r>
      <rPr>
        <i/>
        <sz val="10"/>
        <color theme="1"/>
        <rFont val="Arial"/>
      </rPr>
      <t>e. Target Lock, Gyrfalcon's Hauberk, Lunafaction Boots, 3x Loader</t>
    </r>
  </si>
  <si>
    <t>partial mag (36/97)</t>
  </si>
  <si>
    <r>
      <rPr>
        <sz val="10"/>
        <color theme="1"/>
        <rFont val="Arial"/>
      </rPr>
      <t xml:space="preserve">Shadowshot: Moebius Quiver
</t>
    </r>
    <r>
      <rPr>
        <i/>
        <sz val="10"/>
        <color theme="1"/>
        <rFont val="Arial"/>
      </rPr>
      <t>Feast of Light x4</t>
    </r>
  </si>
  <si>
    <t>volley 1</t>
  </si>
  <si>
    <r>
      <rPr>
        <sz val="10"/>
        <color theme="1"/>
        <rFont val="Arial"/>
      </rPr>
      <t xml:space="preserve">Shadowshot: Moebius Quiver
</t>
    </r>
    <r>
      <rPr>
        <i/>
        <sz val="10"/>
        <color theme="1"/>
        <rFont val="Arial"/>
      </rPr>
      <t>Feast of Light x4</t>
    </r>
  </si>
  <si>
    <t>volley 2</t>
  </si>
  <si>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</si>
  <si>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</si>
  <si>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</si>
  <si>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</si>
  <si>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</si>
  <si>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t>shot 5 (RoF)</t>
  </si>
  <si>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</si>
  <si>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</si>
  <si>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</si>
  <si>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</si>
  <si>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</si>
  <si>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</si>
  <si>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</si>
  <si>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</si>
  <si>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t>shot 13 (RoF)</t>
  </si>
  <si>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</si>
  <si>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</si>
  <si>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Sleeper Simulant
</t>
    </r>
    <r>
      <rPr>
        <i/>
        <sz val="10"/>
        <color theme="1"/>
        <rFont val="Arial"/>
      </rPr>
      <t>Rain of Fire</t>
    </r>
  </si>
  <si>
    <r>
      <rPr>
        <sz val="10"/>
        <color theme="1"/>
        <rFont val="Arial"/>
      </rPr>
      <t xml:space="preserve">Solar grenade
</t>
    </r>
    <r>
      <rPr>
        <i/>
        <sz val="10"/>
        <color theme="1"/>
        <rFont val="Arial"/>
      </rPr>
      <t>Death Throes x5, Touch of Flame</t>
    </r>
  </si>
  <si>
    <r>
      <rPr>
        <sz val="10"/>
        <color theme="1"/>
        <rFont val="Arial"/>
      </rPr>
      <t xml:space="preserve">Solar grenade
</t>
    </r>
    <r>
      <rPr>
        <i/>
        <sz val="10"/>
        <color theme="1"/>
        <rFont val="Arial"/>
      </rPr>
      <t>Death Throes x5, Touch of Flame</t>
    </r>
  </si>
  <si>
    <t>nades 2-67</t>
  </si>
  <si>
    <r>
      <rPr>
        <sz val="10"/>
        <color theme="1"/>
        <rFont val="Arial"/>
      </rPr>
      <t xml:space="preserve">Solar grenade
</t>
    </r>
    <r>
      <rPr>
        <i/>
        <sz val="10"/>
        <color theme="1"/>
        <rFont val="Arial"/>
      </rPr>
      <t>Sunbracers, Touch of Flame, 6 grenades</t>
    </r>
  </si>
  <si>
    <r>
      <rPr>
        <sz val="10"/>
        <color theme="1"/>
        <rFont val="Arial"/>
      </rPr>
      <t xml:space="preserve">Solar grenade
</t>
    </r>
    <r>
      <rPr>
        <i/>
        <sz val="10"/>
        <color theme="1"/>
        <rFont val="Arial"/>
      </rPr>
      <t>Sunbracers, Touch of Flame, 6 grenades</t>
    </r>
  </si>
  <si>
    <t>nade 2</t>
  </si>
  <si>
    <r>
      <rPr>
        <sz val="10"/>
        <color theme="1"/>
        <rFont val="Arial"/>
      </rPr>
      <t xml:space="preserve">Solar grenade
</t>
    </r>
    <r>
      <rPr>
        <i/>
        <sz val="10"/>
        <color theme="1"/>
        <rFont val="Arial"/>
      </rPr>
      <t>Sunbracers, Touch of Flame, 6 grenades</t>
    </r>
  </si>
  <si>
    <t>nade 3</t>
  </si>
  <si>
    <r>
      <rPr>
        <sz val="10"/>
        <color theme="1"/>
        <rFont val="Arial"/>
      </rPr>
      <t xml:space="preserve">Solar grenade
</t>
    </r>
    <r>
      <rPr>
        <i/>
        <sz val="10"/>
        <color theme="1"/>
        <rFont val="Arial"/>
      </rPr>
      <t>Sunbracers, Touch of Flame, 6 grenades</t>
    </r>
  </si>
  <si>
    <t>nade 4</t>
  </si>
  <si>
    <r>
      <rPr>
        <sz val="10"/>
        <color theme="1"/>
        <rFont val="Arial"/>
      </rPr>
      <t xml:space="preserve">Solar grenade
</t>
    </r>
    <r>
      <rPr>
        <i/>
        <sz val="10"/>
        <color theme="1"/>
        <rFont val="Arial"/>
      </rPr>
      <t>Sunbracers, Touch of Flame, 6 grenades</t>
    </r>
  </si>
  <si>
    <t>nade 5</t>
  </si>
  <si>
    <r>
      <rPr>
        <sz val="10"/>
        <color theme="1"/>
        <rFont val="Arial"/>
      </rPr>
      <t xml:space="preserve">Solar grenade
</t>
    </r>
    <r>
      <rPr>
        <i/>
        <sz val="10"/>
        <color theme="1"/>
        <rFont val="Arial"/>
      </rPr>
      <t>Sunbracers, Touch of Flame, 6 grenades</t>
    </r>
  </si>
  <si>
    <t>nade 6</t>
  </si>
  <si>
    <r>
      <rPr>
        <sz val="10"/>
        <color theme="1"/>
        <rFont val="Arial"/>
      </rPr>
      <t xml:space="preserve">Storm grenade
</t>
    </r>
    <r>
      <rPr>
        <i/>
        <sz val="10"/>
        <color theme="1"/>
        <rFont val="Arial"/>
      </rPr>
      <t>Empowered Grenade x2, Touch of Thunder</t>
    </r>
  </si>
  <si>
    <r>
      <rPr>
        <sz val="10"/>
        <color theme="1"/>
        <rFont val="Arial"/>
      </rPr>
      <t xml:space="preserve">Storm grenade
</t>
    </r>
    <r>
      <rPr>
        <i/>
        <sz val="10"/>
        <color theme="1"/>
        <rFont val="Arial"/>
      </rPr>
      <t>Empowered Grenade x2, Touch of Thunder</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</si>
  <si>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</si>
  <si>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</si>
  <si>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</si>
  <si>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</si>
  <si>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</si>
  <si>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</si>
  <si>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</si>
  <si>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</si>
  <si>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</si>
  <si>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</si>
  <si>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</si>
  <si>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</si>
  <si>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</si>
  <si>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</si>
  <si>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</si>
  <si>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</si>
  <si>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</si>
  <si>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</si>
  <si>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</si>
  <si>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</si>
  <si>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</si>
  <si>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</si>
  <si>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</si>
  <si>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</si>
  <si>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</si>
  <si>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</si>
  <si>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</si>
  <si>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</si>
  <si>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</si>
  <si>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</si>
  <si>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t>shot 30 (RoF)</t>
  </si>
  <si>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</si>
  <si>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</si>
  <si>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</si>
  <si>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Taipan-4fr
</t>
    </r>
    <r>
      <rPr>
        <i/>
        <sz val="10"/>
        <color theme="1"/>
        <rFont val="Arial"/>
      </rPr>
      <t>Triple Tap + Firing Line, Rain of Fire</t>
    </r>
  </si>
  <si>
    <r>
      <rPr>
        <sz val="10"/>
        <color theme="1"/>
        <rFont val="Arial"/>
      </rPr>
      <t xml:space="preserve">The Fourth Horseman
</t>
    </r>
    <r>
      <rPr>
        <i/>
        <sz val="10"/>
        <color theme="1"/>
        <rFont val="Arial"/>
      </rPr>
      <t>Radiant Dance Machines, body</t>
    </r>
  </si>
  <si>
    <r>
      <rPr>
        <sz val="10"/>
        <color theme="1"/>
        <rFont val="Arial"/>
      </rPr>
      <t xml:space="preserve">The Fourth Horseman
</t>
    </r>
    <r>
      <rPr>
        <i/>
        <sz val="10"/>
        <color theme="1"/>
        <rFont val="Arial"/>
      </rPr>
      <t>Radiant Dance Machines, body</t>
    </r>
  </si>
  <si>
    <r>
      <rPr>
        <sz val="10"/>
        <color theme="1"/>
        <rFont val="Arial"/>
      </rPr>
      <t xml:space="preserve">The Fourth Horseman
</t>
    </r>
    <r>
      <rPr>
        <i/>
        <sz val="10"/>
        <color theme="1"/>
        <rFont val="Arial"/>
      </rPr>
      <t>Radiant Dance Machines, body</t>
    </r>
  </si>
  <si>
    <r>
      <rPr>
        <sz val="10"/>
        <color theme="1"/>
        <rFont val="Arial"/>
      </rPr>
      <t xml:space="preserve">The Fourth Horseman
</t>
    </r>
    <r>
      <rPr>
        <i/>
        <sz val="10"/>
        <color theme="1"/>
        <rFont val="Arial"/>
      </rPr>
      <t>Radiant Dance Machines, body</t>
    </r>
  </si>
  <si>
    <r>
      <rPr>
        <sz val="10"/>
        <color theme="1"/>
        <rFont val="Arial"/>
      </rPr>
      <t xml:space="preserve">The Fourth Horseman
</t>
    </r>
    <r>
      <rPr>
        <i/>
        <sz val="10"/>
        <color theme="1"/>
        <rFont val="Arial"/>
      </rPr>
      <t>Rain of Fire, body</t>
    </r>
  </si>
  <si>
    <r>
      <rPr>
        <sz val="10"/>
        <color theme="1"/>
        <rFont val="Arial"/>
      </rPr>
      <t xml:space="preserve">The Fourth Horseman
</t>
    </r>
    <r>
      <rPr>
        <i/>
        <sz val="10"/>
        <color theme="1"/>
        <rFont val="Arial"/>
      </rPr>
      <t>Rain of Fire, body</t>
    </r>
  </si>
  <si>
    <r>
      <rPr>
        <sz val="10"/>
        <color theme="1"/>
        <rFont val="Arial"/>
      </rPr>
      <t xml:space="preserve">The Fourth Horseman
</t>
    </r>
    <r>
      <rPr>
        <i/>
        <sz val="10"/>
        <color theme="1"/>
        <rFont val="Arial"/>
      </rPr>
      <t>Rain of Fire, body</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</si>
  <si>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</si>
  <si>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</si>
  <si>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</si>
  <si>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</si>
  <si>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</si>
  <si>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</si>
  <si>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</si>
  <si>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</si>
  <si>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</si>
  <si>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</si>
  <si>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</si>
  <si>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r>
      <rPr>
        <sz val="10"/>
        <color theme="1"/>
        <rFont val="Arial"/>
      </rPr>
      <t>The Lament</t>
    </r>
    <r>
      <rPr>
        <i/>
        <sz val="10"/>
        <color theme="1"/>
        <rFont val="Arial"/>
      </rPr>
      <t xml:space="preserve">
2L1H1R combo, Lucent Blades x3</t>
    </r>
  </si>
  <si>
    <t>2L1H</t>
  </si>
  <si>
    <r>
      <rPr>
        <sz val="10"/>
        <color theme="1"/>
        <rFont val="Arial"/>
      </rPr>
      <t xml:space="preserve">The Lament
</t>
    </r>
    <r>
      <rPr>
        <i/>
        <sz val="10"/>
        <color theme="1"/>
        <rFont val="Arial"/>
      </rPr>
      <t>3L1H2R combo, Lucent Blades x3</t>
    </r>
  </si>
  <si>
    <r>
      <rPr>
        <sz val="10"/>
        <color theme="1"/>
        <rFont val="Arial"/>
      </rPr>
      <t xml:space="preserve">The Lament
</t>
    </r>
    <r>
      <rPr>
        <i/>
        <sz val="10"/>
        <color theme="1"/>
        <rFont val="Arial"/>
      </rPr>
      <t>3L1H2R combo, Lucent Blades x3</t>
    </r>
  </si>
  <si>
    <r>
      <rPr>
        <sz val="10"/>
        <color theme="1"/>
        <rFont val="Arial"/>
      </rPr>
      <t xml:space="preserve">The Lament
</t>
    </r>
    <r>
      <rPr>
        <i/>
        <sz val="10"/>
        <color theme="1"/>
        <rFont val="Arial"/>
      </rPr>
      <t>3L1H2R combo, Lucent Blades x3</t>
    </r>
  </si>
  <si>
    <r>
      <rPr>
        <sz val="10"/>
        <color theme="1"/>
        <rFont val="Arial"/>
      </rPr>
      <t xml:space="preserve">The Lament
</t>
    </r>
    <r>
      <rPr>
        <i/>
        <sz val="10"/>
        <color theme="1"/>
        <rFont val="Arial"/>
      </rPr>
      <t>3L1H2R combo, Lucent Blades x3</t>
    </r>
  </si>
  <si>
    <r>
      <rPr>
        <sz val="10"/>
        <color theme="1"/>
        <rFont val="Arial"/>
      </rPr>
      <t xml:space="preserve">The Lament
</t>
    </r>
    <r>
      <rPr>
        <i/>
        <sz val="10"/>
        <color theme="1"/>
        <rFont val="Arial"/>
      </rPr>
      <t>3L1H2R combo, Lucent Blades x3</t>
    </r>
  </si>
  <si>
    <r>
      <rPr>
        <sz val="10"/>
        <color theme="1"/>
        <rFont val="Arial"/>
      </rPr>
      <t xml:space="preserve">The Lament
</t>
    </r>
    <r>
      <rPr>
        <i/>
        <sz val="10"/>
        <color theme="1"/>
        <rFont val="Arial"/>
      </rPr>
      <t>3L1H2R combo, Lucent Blades x3</t>
    </r>
  </si>
  <si>
    <r>
      <rPr>
        <sz val="10"/>
        <color theme="1"/>
        <rFont val="Arial"/>
      </rPr>
      <t xml:space="preserve">The Lament
</t>
    </r>
    <r>
      <rPr>
        <i/>
        <sz val="10"/>
        <color theme="1"/>
        <rFont val="Arial"/>
      </rPr>
      <t>3L1H2R combo, Lucent Blades x3</t>
    </r>
  </si>
  <si>
    <r>
      <rPr>
        <sz val="10"/>
        <color theme="1"/>
        <rFont val="Arial"/>
      </rPr>
      <t xml:space="preserve">The Lament
</t>
    </r>
    <r>
      <rPr>
        <i/>
        <sz val="10"/>
        <color theme="1"/>
        <rFont val="Arial"/>
      </rPr>
      <t>3L1H2R combo, Lucent Blades x3</t>
    </r>
  </si>
  <si>
    <t>3L1H1R</t>
  </si>
  <si>
    <r>
      <rPr>
        <sz val="10"/>
        <color theme="1"/>
        <rFont val="Arial"/>
      </rPr>
      <t xml:space="preserve">The Lament
</t>
    </r>
    <r>
      <rPr>
        <i/>
        <sz val="10"/>
        <color theme="1"/>
        <rFont val="Arial"/>
      </rPr>
      <t>3L1H2R combo, Lucent Blades x3</t>
    </r>
  </si>
  <si>
    <r>
      <rPr>
        <sz val="10"/>
        <color theme="1"/>
        <rFont val="Arial"/>
      </rPr>
      <t xml:space="preserve">The Lament
</t>
    </r>
    <r>
      <rPr>
        <i/>
        <sz val="10"/>
        <color theme="1"/>
        <rFont val="Arial"/>
      </rPr>
      <t>4L1H3R combo, Lucent Blades x3</t>
    </r>
  </si>
  <si>
    <r>
      <rPr>
        <sz val="10"/>
        <color theme="1"/>
        <rFont val="Arial"/>
      </rPr>
      <t xml:space="preserve">The Lament
</t>
    </r>
    <r>
      <rPr>
        <i/>
        <sz val="10"/>
        <color theme="1"/>
        <rFont val="Arial"/>
      </rPr>
      <t>4L1H3R combo, Lucent Blades x3</t>
    </r>
  </si>
  <si>
    <r>
      <rPr>
        <sz val="10"/>
        <color theme="1"/>
        <rFont val="Arial"/>
      </rPr>
      <t xml:space="preserve">The Lament
</t>
    </r>
    <r>
      <rPr>
        <i/>
        <sz val="10"/>
        <color theme="1"/>
        <rFont val="Arial"/>
      </rPr>
      <t>4L1H3R combo, Lucent Blades x3</t>
    </r>
  </si>
  <si>
    <r>
      <rPr>
        <sz val="10"/>
        <color theme="1"/>
        <rFont val="Arial"/>
      </rPr>
      <t xml:space="preserve">The Lament
</t>
    </r>
    <r>
      <rPr>
        <i/>
        <sz val="10"/>
        <color theme="1"/>
        <rFont val="Arial"/>
      </rPr>
      <t>4L1H3R combo, Lucent Blades x3</t>
    </r>
  </si>
  <si>
    <r>
      <rPr>
        <sz val="10"/>
        <color theme="1"/>
        <rFont val="Arial"/>
      </rPr>
      <t xml:space="preserve">The Lament
</t>
    </r>
    <r>
      <rPr>
        <i/>
        <sz val="10"/>
        <color theme="1"/>
        <rFont val="Arial"/>
      </rPr>
      <t>4L1H3R combo, Lucent Blades x3</t>
    </r>
  </si>
  <si>
    <r>
      <rPr>
        <sz val="10"/>
        <color theme="1"/>
        <rFont val="Arial"/>
      </rPr>
      <t xml:space="preserve">The Lament
</t>
    </r>
    <r>
      <rPr>
        <i/>
        <sz val="10"/>
        <color theme="1"/>
        <rFont val="Arial"/>
      </rPr>
      <t>4L1H3R combo, Lucent Blades x3</t>
    </r>
  </si>
  <si>
    <r>
      <rPr>
        <sz val="10"/>
        <color theme="1"/>
        <rFont val="Arial"/>
      </rPr>
      <t xml:space="preserve">The Lament
</t>
    </r>
    <r>
      <rPr>
        <i/>
        <sz val="10"/>
        <color theme="1"/>
        <rFont val="Arial"/>
      </rPr>
      <t>4L1H3R combo, Lucent Blades x3</t>
    </r>
  </si>
  <si>
    <t>3L1H</t>
  </si>
  <si>
    <r>
      <rPr>
        <sz val="10"/>
        <color theme="1"/>
        <rFont val="Arial"/>
      </rPr>
      <t xml:space="preserve">The Wardcliff Coil
</t>
    </r>
    <r>
      <rPr>
        <i/>
        <sz val="10"/>
        <color theme="1"/>
        <rFont val="Arial"/>
      </rPr>
      <t>Radiant Dance Machines</t>
    </r>
  </si>
  <si>
    <r>
      <rPr>
        <sz val="10"/>
        <color theme="1"/>
        <rFont val="Arial"/>
      </rPr>
      <t xml:space="preserve">The Wardcliff Coil
</t>
    </r>
    <r>
      <rPr>
        <i/>
        <sz val="10"/>
        <color theme="1"/>
        <rFont val="Arial"/>
      </rPr>
      <t>Radiant Dance Machines</t>
    </r>
  </si>
  <si>
    <r>
      <rPr>
        <sz val="10"/>
        <color theme="1"/>
        <rFont val="Arial"/>
      </rPr>
      <t xml:space="preserve">The Wardcliff Coil
</t>
    </r>
    <r>
      <rPr>
        <i/>
        <sz val="10"/>
        <color theme="1"/>
        <rFont val="Arial"/>
      </rPr>
      <t>Radiant Dance Machines</t>
    </r>
  </si>
  <si>
    <r>
      <rPr>
        <sz val="10"/>
        <color theme="1"/>
        <rFont val="Arial"/>
      </rPr>
      <t xml:space="preserve">The Wardcliff Coil
</t>
    </r>
    <r>
      <rPr>
        <i/>
        <sz val="10"/>
        <color theme="1"/>
        <rFont val="Arial"/>
      </rPr>
      <t>Radiant Dance Machines</t>
    </r>
  </si>
  <si>
    <r>
      <rPr>
        <sz val="10"/>
        <color theme="1"/>
        <rFont val="Arial"/>
      </rPr>
      <t xml:space="preserve">The Wardcliff Coil
</t>
    </r>
    <r>
      <rPr>
        <i/>
        <sz val="10"/>
        <color theme="1"/>
        <rFont val="Arial"/>
      </rPr>
      <t>Radiant Dance Machines</t>
    </r>
  </si>
  <si>
    <r>
      <rPr>
        <sz val="10"/>
        <color theme="1"/>
        <rFont val="Arial"/>
      </rPr>
      <t xml:space="preserve">The Wardcliff Coil
</t>
    </r>
    <r>
      <rPr>
        <i/>
        <sz val="10"/>
        <color theme="1"/>
        <rFont val="Arial"/>
      </rPr>
      <t>Radiant Dance Machines</t>
    </r>
  </si>
  <si>
    <r>
      <rPr>
        <sz val="10"/>
        <color theme="1"/>
        <rFont val="Arial"/>
      </rPr>
      <t xml:space="preserve">The Wardcliff Coil
</t>
    </r>
    <r>
      <rPr>
        <i/>
        <sz val="10"/>
        <color theme="1"/>
        <rFont val="Arial"/>
      </rPr>
      <t>Radiant Dance Machines</t>
    </r>
  </si>
  <si>
    <r>
      <rPr>
        <sz val="10"/>
        <color theme="1"/>
        <rFont val="Arial"/>
      </rPr>
      <t xml:space="preserve">The Wardcliff Coil
</t>
    </r>
    <r>
      <rPr>
        <i/>
        <sz val="10"/>
        <color theme="1"/>
        <rFont val="Arial"/>
      </rPr>
      <t>Radiant Dance Machines</t>
    </r>
  </si>
  <si>
    <r>
      <rPr>
        <sz val="10"/>
        <color theme="1"/>
        <rFont val="Arial"/>
      </rPr>
      <t xml:space="preserve">Threadling grenade
</t>
    </r>
    <r>
      <rPr>
        <i/>
        <sz val="10"/>
        <color theme="1"/>
        <rFont val="Arial"/>
      </rPr>
      <t>Death Throes x5, Thread of Evolution</t>
    </r>
  </si>
  <si>
    <r>
      <rPr>
        <sz val="10"/>
        <color theme="1"/>
        <rFont val="Arial"/>
      </rPr>
      <t xml:space="preserve">Threadling grenade
</t>
    </r>
    <r>
      <rPr>
        <i/>
        <sz val="10"/>
        <color theme="1"/>
        <rFont val="Arial"/>
      </rPr>
      <t>Death Throes x5, Thread of Evolution</t>
    </r>
  </si>
  <si>
    <t>nades 2-71</t>
  </si>
  <si>
    <r>
      <rPr>
        <sz val="10"/>
        <color theme="1"/>
        <rFont val="Arial"/>
      </rPr>
      <t xml:space="preserve">Throne-Cleaver
</t>
    </r>
    <r>
      <rPr>
        <i/>
        <sz val="10"/>
        <color theme="1"/>
        <rFont val="Arial"/>
      </rPr>
      <t>1H5L combo, Lucent Blades x3, Jagged Edge w/ e. Surrounded</t>
    </r>
  </si>
  <si>
    <r>
      <rPr>
        <sz val="10"/>
        <color theme="1"/>
        <rFont val="Arial"/>
      </rPr>
      <t xml:space="preserve">Throne-Cleaver
</t>
    </r>
    <r>
      <rPr>
        <i/>
        <sz val="10"/>
        <color theme="1"/>
        <rFont val="Arial"/>
      </rPr>
      <t>1H5L combo, Lucent Blades x3, Jagged Edge w/ e. Surrounded</t>
    </r>
  </si>
  <si>
    <r>
      <rPr>
        <sz val="10"/>
        <color theme="1"/>
        <rFont val="Arial"/>
      </rPr>
      <t xml:space="preserve">Throne-Cleaver
</t>
    </r>
    <r>
      <rPr>
        <i/>
        <sz val="10"/>
        <color theme="1"/>
        <rFont val="Arial"/>
      </rPr>
      <t>1H5L combo, Lucent Blades x3, Jagged Edge w/ e. Surrounded</t>
    </r>
  </si>
  <si>
    <r>
      <rPr>
        <sz val="10"/>
        <color theme="1"/>
        <rFont val="Arial"/>
      </rPr>
      <t xml:space="preserve">Throne-Cleaver
</t>
    </r>
    <r>
      <rPr>
        <i/>
        <sz val="10"/>
        <color theme="1"/>
        <rFont val="Arial"/>
      </rPr>
      <t>1H5L combo, Lucent Blades x3, Jagged Edge w/ e. Surrounded</t>
    </r>
  </si>
  <si>
    <r>
      <rPr>
        <sz val="10"/>
        <color theme="1"/>
        <rFont val="Arial"/>
      </rPr>
      <t xml:space="preserve">Throne-Cleaver
</t>
    </r>
    <r>
      <rPr>
        <i/>
        <sz val="10"/>
        <color theme="1"/>
        <rFont val="Arial"/>
      </rPr>
      <t>1H5L combo, Lucent Blades x3, Jagged Edge w/ e. Surrounded</t>
    </r>
  </si>
  <si>
    <r>
      <rPr>
        <sz val="10"/>
        <color theme="1"/>
        <rFont val="Arial"/>
      </rPr>
      <t xml:space="preserve">Throne-Cleaver
</t>
    </r>
    <r>
      <rPr>
        <i/>
        <sz val="10"/>
        <color theme="1"/>
        <rFont val="Arial"/>
      </rPr>
      <t>1H5L combo, Lucent Blades x3, Jagged Edge w/ e. Surrounded</t>
    </r>
  </si>
  <si>
    <r>
      <rPr>
        <sz val="10"/>
        <color theme="1"/>
        <rFont val="Arial"/>
      </rPr>
      <t xml:space="preserve">Throne-Cleaver
</t>
    </r>
    <r>
      <rPr>
        <i/>
        <sz val="10"/>
        <color theme="1"/>
        <rFont val="Arial"/>
      </rPr>
      <t>1H5L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</si>
  <si>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</si>
  <si>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</si>
  <si>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</si>
  <si>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</si>
  <si>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</si>
  <si>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</si>
  <si>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</si>
  <si>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</si>
  <si>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</si>
  <si>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</si>
  <si>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</si>
  <si>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Throne-Cleaver
</t>
    </r>
    <r>
      <rPr>
        <i/>
        <sz val="10"/>
        <color theme="1"/>
        <rFont val="Arial"/>
      </rPr>
      <t>1H2L combo, Lucent Blades x3, Jagged Edge w/ e. Surrounded</t>
    </r>
  </si>
  <si>
    <r>
      <rPr>
        <sz val="10"/>
        <color theme="1"/>
        <rFont val="Arial"/>
      </rPr>
      <t xml:space="preserve">Throwing Hammer
</t>
    </r>
    <r>
      <rPr>
        <i/>
        <sz val="10"/>
        <color theme="1"/>
        <rFont val="Arial"/>
      </rPr>
      <t>Roaring Flames x3, Biotic Enhancements</t>
    </r>
  </si>
  <si>
    <t>hammer 1</t>
  </si>
  <si>
    <r>
      <rPr>
        <sz val="10"/>
        <color theme="1"/>
        <rFont val="Arial"/>
      </rPr>
      <t xml:space="preserve">Throwing Hammer
</t>
    </r>
    <r>
      <rPr>
        <i/>
        <sz val="10"/>
        <color theme="1"/>
        <rFont val="Arial"/>
      </rPr>
      <t>Roaring Flames x3, Biotic Enhancements</t>
    </r>
  </si>
  <si>
    <t>hammer 2-133</t>
  </si>
  <si>
    <r>
      <rPr>
        <sz val="10"/>
        <color theme="1"/>
        <rFont val="Arial"/>
      </rPr>
      <t xml:space="preserve">Thundercrash
</t>
    </r>
    <r>
      <rPr>
        <i/>
        <sz val="10"/>
        <color theme="1"/>
        <rFont val="Arial"/>
      </rPr>
      <t>Cuirass of the Falling Star</t>
    </r>
  </si>
  <si>
    <r>
      <rPr>
        <sz val="10"/>
        <color theme="1"/>
        <rFont val="Arial"/>
      </rPr>
      <t xml:space="preserve">Thundercrash
</t>
    </r>
    <r>
      <rPr>
        <i/>
        <sz val="10"/>
        <color theme="1"/>
        <rFont val="Arial"/>
      </rPr>
      <t>Cuirass of the Falling Star</t>
    </r>
  </si>
  <si>
    <t>shock ends</t>
  </si>
  <si>
    <r>
      <rPr>
        <sz val="10"/>
        <color theme="1"/>
        <rFont val="Arial"/>
      </rPr>
      <t xml:space="preserve">Thunderlord
</t>
    </r>
    <r>
      <rPr>
        <i/>
        <sz val="10"/>
        <color theme="1"/>
        <rFont val="Arial"/>
      </rPr>
      <t>Actium War Rig</t>
    </r>
  </si>
  <si>
    <r>
      <rPr>
        <sz val="10"/>
        <color theme="1"/>
        <rFont val="Arial"/>
      </rPr>
      <t xml:space="preserve">Thunderlord
</t>
    </r>
    <r>
      <rPr>
        <i/>
        <sz val="10"/>
        <color theme="1"/>
        <rFont val="Arial"/>
      </rPr>
      <t>Actium War Rig</t>
    </r>
  </si>
  <si>
    <t>shot 409</t>
  </si>
  <si>
    <r>
      <rPr>
        <sz val="10"/>
        <color theme="1"/>
        <rFont val="Arial"/>
      </rPr>
      <t xml:space="preserve">Trace rifle
</t>
    </r>
    <r>
      <rPr>
        <i/>
        <sz val="10"/>
        <color theme="1"/>
        <rFont val="Arial"/>
      </rPr>
      <t>Field Prep + Frenzy (Acasia's Dejection), Cenotaph Mask, Lunafaction Boots, 3x Loader</t>
    </r>
  </si>
  <si>
    <r>
      <rPr>
        <sz val="10"/>
        <color theme="1"/>
        <rFont val="Arial"/>
      </rPr>
      <t xml:space="preserve">Trace rifle
</t>
    </r>
    <r>
      <rPr>
        <i/>
        <sz val="10"/>
        <color theme="1"/>
        <rFont val="Arial"/>
      </rPr>
      <t>Field Prep + Frenzy (Acasia's Dejection), Cenotaph Mask, Lunafaction Boots, 3x Loader</t>
    </r>
  </si>
  <si>
    <t>shot 601</t>
  </si>
  <si>
    <r>
      <rPr>
        <sz val="10"/>
        <color theme="1"/>
        <rFont val="Arial"/>
      </rPr>
      <t xml:space="preserve">Tripmine Grenade
</t>
    </r>
    <r>
      <rPr>
        <i/>
        <sz val="10"/>
        <color theme="1"/>
        <rFont val="Arial"/>
      </rPr>
      <t>Young Ahamkara's Spine, Ember of Ashes</t>
    </r>
  </si>
  <si>
    <r>
      <rPr>
        <sz val="10"/>
        <color theme="1"/>
        <rFont val="Arial"/>
      </rPr>
      <t xml:space="preserve">Tripmine Grenade
</t>
    </r>
    <r>
      <rPr>
        <i/>
        <sz val="10"/>
        <color theme="1"/>
        <rFont val="Arial"/>
      </rPr>
      <t>Young Ahamkara's Spine, Ember of Ashes</t>
    </r>
  </si>
  <si>
    <t>nades 2-132</t>
  </si>
  <si>
    <r>
      <rPr>
        <sz val="10"/>
        <color theme="1"/>
        <rFont val="Arial"/>
      </rPr>
      <t xml:space="preserve">Two-Tailed Fox
</t>
    </r>
    <r>
      <rPr>
        <i/>
        <sz val="10"/>
        <color theme="1"/>
        <rFont val="Arial"/>
      </rPr>
      <t>Radiant Dance Machines</t>
    </r>
  </si>
  <si>
    <r>
      <rPr>
        <sz val="10"/>
        <color theme="1"/>
        <rFont val="Arial"/>
      </rPr>
      <t xml:space="preserve">Two-Tailed Fox
</t>
    </r>
    <r>
      <rPr>
        <i/>
        <sz val="10"/>
        <color theme="1"/>
        <rFont val="Arial"/>
      </rPr>
      <t>Radiant Dance Machines</t>
    </r>
  </si>
  <si>
    <r>
      <rPr>
        <sz val="10"/>
        <color theme="1"/>
        <rFont val="Arial"/>
      </rPr>
      <t xml:space="preserve">Two-Tailed Fox
</t>
    </r>
    <r>
      <rPr>
        <i/>
        <sz val="10"/>
        <color theme="1"/>
        <rFont val="Arial"/>
      </rPr>
      <t>Radiant Dance Machines</t>
    </r>
  </si>
  <si>
    <r>
      <rPr>
        <sz val="10"/>
        <color theme="1"/>
        <rFont val="Arial"/>
      </rPr>
      <t xml:space="preserve">Two-Tailed Fox
</t>
    </r>
    <r>
      <rPr>
        <i/>
        <sz val="10"/>
        <color theme="1"/>
        <rFont val="Arial"/>
      </rPr>
      <t>Radiant Dance Machines</t>
    </r>
  </si>
  <si>
    <r>
      <rPr>
        <sz val="10"/>
        <color theme="1"/>
        <rFont val="Arial"/>
      </rPr>
      <t xml:space="preserve">Two-Tailed Fox
</t>
    </r>
    <r>
      <rPr>
        <i/>
        <sz val="10"/>
        <color theme="1"/>
        <rFont val="Arial"/>
      </rPr>
      <t>Radiant Dance Machines</t>
    </r>
  </si>
  <si>
    <r>
      <rPr>
        <sz val="10"/>
        <color theme="1"/>
        <rFont val="Arial"/>
      </rPr>
      <t xml:space="preserve">Two-Tailed Fox
</t>
    </r>
    <r>
      <rPr>
        <i/>
        <sz val="10"/>
        <color theme="1"/>
        <rFont val="Arial"/>
      </rPr>
      <t>Radiant Dance Machines</t>
    </r>
  </si>
  <si>
    <r>
      <rPr>
        <sz val="10"/>
        <color theme="1"/>
        <rFont val="Arial"/>
      </rPr>
      <t xml:space="preserve">Two-Tailed Fox
</t>
    </r>
    <r>
      <rPr>
        <i/>
        <sz val="10"/>
        <color theme="1"/>
        <rFont val="Arial"/>
      </rPr>
      <t>Radiant Dance Machines</t>
    </r>
  </si>
  <si>
    <r>
      <rPr>
        <sz val="10"/>
        <color theme="1"/>
        <rFont val="Arial"/>
      </rPr>
      <t xml:space="preserve">Two-Tailed Fox
</t>
    </r>
    <r>
      <rPr>
        <i/>
        <sz val="10"/>
        <color theme="1"/>
        <rFont val="Arial"/>
      </rPr>
      <t>Radiant Dance Machines</t>
    </r>
  </si>
  <si>
    <r>
      <rPr>
        <sz val="10"/>
        <color theme="1"/>
        <rFont val="Arial"/>
      </rPr>
      <t xml:space="preserve">Two-Tailed Fox
</t>
    </r>
    <r>
      <rPr>
        <i/>
        <sz val="10"/>
        <color theme="1"/>
        <rFont val="Arial"/>
      </rPr>
      <t>Radiant Dance Machines</t>
    </r>
  </si>
  <si>
    <r>
      <rPr>
        <sz val="10"/>
        <color theme="1"/>
        <rFont val="Arial"/>
      </rPr>
      <t xml:space="preserve">Two-Tailed Fox
</t>
    </r>
    <r>
      <rPr>
        <i/>
        <sz val="10"/>
        <color theme="1"/>
        <rFont val="Arial"/>
      </rPr>
      <t>Radiant Dance Machines</t>
    </r>
  </si>
  <si>
    <t>74 procs</t>
  </si>
  <si>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</si>
  <si>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</si>
  <si>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</si>
  <si>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</si>
  <si>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</si>
  <si>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</si>
  <si>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</si>
  <si>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</si>
  <si>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</si>
  <si>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</si>
  <si>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</si>
  <si>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</si>
  <si>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</si>
  <si>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</si>
  <si>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</si>
  <si>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</si>
  <si>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</si>
  <si>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</si>
  <si>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</si>
  <si>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</si>
  <si>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Wilderflight
</t>
    </r>
    <r>
      <rPr>
        <i/>
        <sz val="10"/>
        <color theme="1"/>
        <rFont val="Arial"/>
      </rPr>
      <t>Rain of Fire, Lunafaction Boots, 3x Loader</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</si>
  <si>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</si>
  <si>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</si>
  <si>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</si>
  <si>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</si>
  <si>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</si>
  <si>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</si>
  <si>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</si>
  <si>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</si>
  <si>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</si>
  <si>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</si>
  <si>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</si>
  <si>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</si>
  <si>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</si>
  <si>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</si>
  <si>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</si>
  <si>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</si>
  <si>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</si>
  <si>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</si>
  <si>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</si>
  <si>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</si>
  <si>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</si>
  <si>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</si>
  <si>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</si>
  <si>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</si>
  <si>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</si>
  <si>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</si>
  <si>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</si>
  <si>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</si>
  <si>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</si>
  <si>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</si>
  <si>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</si>
  <si>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</si>
  <si>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</si>
  <si>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</si>
  <si>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</si>
  <si>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</si>
  <si>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</si>
  <si>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</si>
  <si>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</si>
  <si>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</si>
  <si>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</si>
  <si>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</si>
  <si>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</si>
  <si>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</si>
  <si>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</si>
  <si>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Witherhoard
</t>
    </r>
    <r>
      <rPr>
        <i/>
        <sz val="10"/>
        <color theme="1"/>
        <rFont val="Arial"/>
      </rPr>
      <t>ground</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</si>
  <si>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</si>
  <si>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</si>
  <si>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</si>
  <si>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</si>
  <si>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</si>
  <si>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</si>
  <si>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</si>
  <si>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</si>
  <si>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</si>
  <si>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</si>
  <si>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</si>
  <si>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</si>
  <si>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</si>
  <si>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</si>
  <si>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</si>
  <si>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</si>
  <si>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</si>
  <si>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</si>
  <si>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</si>
  <si>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</si>
  <si>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</si>
  <si>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</si>
  <si>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</si>
  <si>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</si>
  <si>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</si>
  <si>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</si>
  <si>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</si>
  <si>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</si>
  <si>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</si>
  <si>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</si>
  <si>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</si>
  <si>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</si>
  <si>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</si>
  <si>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r>
      <rPr>
        <sz val="10"/>
        <color theme="1"/>
        <rFont val="Arial"/>
      </rPr>
      <t xml:space="preserve">Xenophage
</t>
    </r>
    <r>
      <rPr>
        <i/>
        <sz val="10"/>
        <color theme="1"/>
        <rFont val="Arial"/>
      </rPr>
      <t>Actium War Rig</t>
    </r>
  </si>
  <si>
    <t>INFORMATIONAL</t>
  </si>
  <si>
    <t>REAL</t>
  </si>
  <si>
    <t>Explosion</t>
  </si>
  <si>
    <t>Impact</t>
  </si>
  <si>
    <t>WP1</t>
  </si>
  <si>
    <t>WP2</t>
  </si>
  <si>
    <t>Theoretical</t>
  </si>
  <si>
    <t>W/T</t>
  </si>
  <si>
    <t>A/B</t>
  </si>
  <si>
    <t>A/T</t>
  </si>
  <si>
    <t>A/W</t>
  </si>
  <si>
    <t>None [4]</t>
  </si>
  <si>
    <t>Wolfpacks are a ~90% boost to base rocket damage</t>
  </si>
  <si>
    <t>Chill Clip [1]
None [3]</t>
  </si>
  <si>
    <t>Wow this sucks, regular rocket info used</t>
  </si>
  <si>
    <t>Chill Clip [4]</t>
  </si>
  <si>
    <t>Only 72 tests for this one, wow this also sucks</t>
  </si>
  <si>
    <t>e. Surrounded [4]</t>
  </si>
  <si>
    <t>Actually does more than expected</t>
  </si>
  <si>
    <t>Bipod [4]</t>
  </si>
  <si>
    <t>Right on the money at 60%</t>
  </si>
  <si>
    <t>Bait and Switch [4]</t>
  </si>
  <si>
    <t>Pretty good, but would be even better at 35% instead of 27%, maybe due for a retest</t>
  </si>
  <si>
    <t>Explosive Light [4]</t>
  </si>
  <si>
    <t>Wow this is really bad</t>
  </si>
  <si>
    <t>Lasting Impression [4]</t>
  </si>
  <si>
    <t>Wow this is somehow worse</t>
  </si>
  <si>
    <t>Tested in a fireteam of 6 with 4 doing damage, Templar, Gjallarhorn not doing damage, no buffs, no debuffs, Impact Casing, no mods, 96 total rockets across 4 players across 4 wipes (128 for Bipod)</t>
  </si>
  <si>
    <t>TESTING</t>
  </si>
  <si>
    <t>Weapon</t>
  </si>
  <si>
    <t>A/P</t>
  </si>
  <si>
    <t>None [1]</t>
  </si>
  <si>
    <t>Expected solo ~30% value</t>
  </si>
  <si>
    <t>None [2]</t>
  </si>
  <si>
    <t>Duo damage adds another ~23%</t>
  </si>
  <si>
    <t>None [3]</t>
  </si>
  <si>
    <t>Trio damage adds another ~27%</t>
  </si>
  <si>
    <t>4 man damage adds another ~31%</t>
  </si>
  <si>
    <t>None [5]</t>
  </si>
  <si>
    <t>5 man damage adds another ~36%, ~81% total</t>
  </si>
  <si>
    <t>None [5]
Update 7.2.0.1</t>
  </si>
  <si>
    <t>Uh oh</t>
  </si>
  <si>
    <t>None [5]
Gjallarhorn [1]</t>
  </si>
  <si>
    <t>Gjallarhorn does not chunk</t>
  </si>
  <si>
    <t>None [5]
Radiant</t>
  </si>
  <si>
    <t>None [5]
Lumina</t>
  </si>
  <si>
    <t>None [5]
Deadfall Tether</t>
  </si>
  <si>
    <t>None [5]
3x matching surges</t>
  </si>
  <si>
    <t>None [5]
Well, Tether, surges</t>
  </si>
  <si>
    <t>None [5]
Radiant, Tether, surges, Ballidorse</t>
  </si>
  <si>
    <t>Scales as expected</t>
  </si>
  <si>
    <t>Bipod [5]</t>
  </si>
  <si>
    <t>Might be chunking a bit more due to sheer quantity?</t>
  </si>
  <si>
    <t>Bipod [5]
Update 7.2.0.1</t>
  </si>
  <si>
    <t>Expected scaling</t>
  </si>
  <si>
    <t>None [4]
Chill Clip [1]</t>
  </si>
  <si>
    <t>Somehow worse than base value</t>
  </si>
  <si>
    <t>Chill Clip [5]</t>
  </si>
  <si>
    <t>Even worse than one Chill Clip</t>
  </si>
  <si>
    <t>Bait and Switch [5]</t>
  </si>
  <si>
    <t>Not at expected 35%, below even unbuffed first shot value</t>
  </si>
  <si>
    <t>Bait and Switch [5]
Update 7.2.0.1</t>
  </si>
  <si>
    <t>First shot didn't change</t>
  </si>
  <si>
    <t>Cluster Bomb [5]</t>
  </si>
  <si>
    <t>Extra damage is purely from clusters</t>
  </si>
  <si>
    <t>Explosive Light [5]</t>
  </si>
  <si>
    <t>Absolutely awful</t>
  </si>
  <si>
    <t>Frenzy [5]</t>
  </si>
  <si>
    <t>Golden Tricorn [5]</t>
  </si>
  <si>
    <t>Probably scales, limited data (!)</t>
  </si>
  <si>
    <t>Lasting Impression [5]</t>
  </si>
  <si>
    <t>e. Surrounded [5]</t>
  </si>
  <si>
    <t>Imported from Templar</t>
  </si>
  <si>
    <t>Vorpal Weapon [5]</t>
  </si>
  <si>
    <t>Taniks, Impact Casing, Boss Spec, Radiant Dance Machines</t>
  </si>
  <si>
    <t>Period</t>
  </si>
  <si>
    <r>
      <rPr>
        <b/>
        <sz val="10"/>
        <color theme="1"/>
        <rFont val="Arial"/>
      </rPr>
      <t>Throwing Hammer</t>
    </r>
    <r>
      <rPr>
        <sz val="10"/>
        <color theme="1"/>
        <rFont val="Arial"/>
      </rPr>
      <t xml:space="preserve">
</t>
    </r>
    <r>
      <rPr>
        <i/>
        <sz val="10"/>
        <color theme="1"/>
        <rFont val="Arial"/>
      </rPr>
      <t>bouncing hammers</t>
    </r>
  </si>
  <si>
    <t>Two hammers, 22 hits each, Tractor Cannon, Roaring Flames x3, One-Two Punch, Burning Fists x5, Turn the Tide, Ward of Dawn, frozen melee bonus, Banner of War</t>
  </si>
  <si>
    <t>Season of the Lost</t>
  </si>
  <si>
    <r>
      <rPr>
        <b/>
        <sz val="10"/>
        <color theme="1"/>
        <rFont val="Arial"/>
      </rPr>
      <t>Shield Bash</t>
    </r>
    <r>
      <rPr>
        <sz val="10"/>
        <color theme="1"/>
        <rFont val="Arial"/>
      </rPr>
      <t xml:space="preserve">
</t>
    </r>
    <r>
      <rPr>
        <i/>
        <sz val="10"/>
        <color theme="1"/>
        <rFont val="Arial"/>
      </rPr>
      <t>pre-frozen melee patch</t>
    </r>
  </si>
  <si>
    <t>Tractor Cannon, Offensive Bulwark, One-Two Punch, Burning Fists x5, frozen melee bonus, Banner of War</t>
  </si>
  <si>
    <t>Season of Plunder</t>
  </si>
  <si>
    <r>
      <rPr>
        <b/>
        <sz val="10"/>
        <color theme="1"/>
        <rFont val="Arial"/>
      </rPr>
      <t>The Fourth Horseman</t>
    </r>
    <r>
      <rPr>
        <sz val="10"/>
        <color theme="1"/>
        <rFont val="Arial"/>
      </rPr>
      <t xml:space="preserve">
</t>
    </r>
    <r>
      <rPr>
        <i/>
        <sz val="10"/>
        <color theme="1"/>
        <rFont val="Arial"/>
      </rPr>
      <t>pre-slug swap patch</t>
    </r>
  </si>
  <si>
    <t>Tractor Cannon, Lumina, Foetracer surges</t>
  </si>
  <si>
    <t>Season of Defiance</t>
  </si>
  <si>
    <r>
      <rPr>
        <b/>
        <sz val="10"/>
        <color theme="1"/>
        <rFont val="Arial"/>
      </rPr>
      <t>Cold Comfort</t>
    </r>
    <r>
      <rPr>
        <sz val="10"/>
        <color theme="1"/>
        <rFont val="Arial"/>
      </rPr>
      <t xml:space="preserve"> </t>
    </r>
    <r>
      <rPr>
        <b/>
        <sz val="10"/>
        <color theme="1"/>
        <rFont val="Arial"/>
      </rPr>
      <t>spam</t>
    </r>
    <r>
      <rPr>
        <sz val="10"/>
        <color theme="1"/>
        <rFont val="Arial"/>
      </rPr>
      <t xml:space="preserve">
</t>
    </r>
    <r>
      <rPr>
        <i/>
        <sz val="10"/>
        <color theme="1"/>
        <rFont val="Arial"/>
      </rPr>
      <t>pre-wolfpack multi-hit change</t>
    </r>
  </si>
  <si>
    <t>Radiant Dance Machines, Tractor Cannon, Lumina, Ballidorse Wrathweavers, Pack Hunter, Bait and Switch, Envious Assassin x15, Restoration Ritual, stasis surges</t>
  </si>
  <si>
    <t>Season of the Deep</t>
  </si>
  <si>
    <r>
      <rPr>
        <b/>
        <sz val="10"/>
        <color theme="1"/>
        <rFont val="Arial"/>
      </rPr>
      <t>Berserker abilities</t>
    </r>
    <r>
      <rPr>
        <sz val="10"/>
        <color theme="1"/>
        <rFont val="Arial"/>
      </rPr>
      <t xml:space="preserve">
</t>
    </r>
    <r>
      <rPr>
        <i/>
        <sz val="10"/>
        <color theme="1"/>
        <rFont val="Arial"/>
      </rPr>
      <t>pre-Banner stacking patch</t>
    </r>
  </si>
  <si>
    <t>Tractor Cannon, Biotic Enhancements, Banner of War x2, One-Two Punch</t>
  </si>
  <si>
    <t>start of Season of the Witch</t>
  </si>
  <si>
    <r>
      <rPr>
        <b/>
        <sz val="10"/>
        <color theme="1"/>
        <rFont val="Arial"/>
      </rPr>
      <t>Triple GL swapping</t>
    </r>
    <r>
      <rPr>
        <sz val="10"/>
        <color theme="1"/>
        <rFont val="Arial"/>
      </rPr>
      <t xml:space="preserve">
</t>
    </r>
    <r>
      <rPr>
        <i/>
        <sz val="10"/>
        <color theme="1"/>
        <rFont val="Arial"/>
      </rPr>
      <t>pre-rework Lunafactions</t>
    </r>
  </si>
  <si>
    <t>The Mountaintop + Wilderflight w/ Frenzy, Tractor Cannon, Lumina, Foetracer surges, kinetic surges</t>
  </si>
  <si>
    <t>Season of Opulence</t>
  </si>
  <si>
    <r>
      <rPr>
        <b/>
        <sz val="10"/>
        <color theme="1"/>
        <rFont val="Arial"/>
      </rPr>
      <t>Izanagi HGL ("bilibili")</t>
    </r>
    <r>
      <rPr>
        <sz val="10"/>
        <color theme="1"/>
        <rFont val="Arial"/>
      </rPr>
      <t xml:space="preserve">
</t>
    </r>
    <r>
      <rPr>
        <i/>
        <sz val="10"/>
        <color theme="1"/>
        <rFont val="Arial"/>
      </rPr>
      <t>pre-nerf Izanagi's + pre-sunset Wendigo + quickswap glitch</t>
    </r>
  </si>
  <si>
    <t>Wilderflight w/ Frenzy, Tractor Cannon, Lumina, Foetracer surges, kinetic surges, pre-rework Explosive Light</t>
  </si>
  <si>
    <t>Season of Arrivals</t>
  </si>
  <si>
    <r>
      <rPr>
        <b/>
        <sz val="10"/>
        <color theme="1"/>
        <rFont val="Arial"/>
      </rPr>
      <t>Anarchy slug shotgun swapping</t>
    </r>
    <r>
      <rPr>
        <sz val="10"/>
        <color theme="1"/>
        <rFont val="Arial"/>
      </rPr>
      <t xml:space="preserve">
</t>
    </r>
    <r>
      <rPr>
        <i/>
        <sz val="10"/>
        <color theme="1"/>
        <rFont val="Arial"/>
      </rPr>
      <t>pre-nerf Anarchy + quickswap glitch</t>
    </r>
  </si>
  <si>
    <t>Fortissimo-11 w/ Surrounded + First In, Last Out w/ Surrounded, Tractor Cannon, Lumina, Rain of Fire, 1/2 surge split, Power of Rasputin, Focusing Lens</t>
  </si>
  <si>
    <t>Season of the Splicer</t>
  </si>
  <si>
    <r>
      <rPr>
        <b/>
        <sz val="10"/>
        <color theme="1"/>
        <rFont val="Arial"/>
      </rPr>
      <t xml:space="preserve">Sleeper Simulant
</t>
    </r>
    <r>
      <rPr>
        <i/>
        <sz val="10"/>
        <color theme="1"/>
        <rFont val="Arial"/>
      </rPr>
      <t>Particle Deconstruction stacking, pre-linear nerf</t>
    </r>
  </si>
  <si>
    <t>Particle Deconstruction, Divinity, Rain of Fire, Lumina, Font of Might, Power of Rasputin, Focusing Lens</t>
  </si>
  <si>
    <r>
      <rPr>
        <b/>
        <sz val="10"/>
        <color theme="1"/>
        <rFont val="Arial"/>
      </rPr>
      <t>Izanagi's Burden</t>
    </r>
    <r>
      <rPr>
        <sz val="10"/>
        <color theme="1"/>
        <rFont val="Arial"/>
      </rPr>
      <t xml:space="preserve">
</t>
    </r>
    <r>
      <rPr>
        <i/>
        <sz val="10"/>
        <color theme="1"/>
        <rFont val="Arial"/>
      </rPr>
      <t>reload buff + no lockout</t>
    </r>
  </si>
  <si>
    <t>Tractor Cannon, Lumina, kinetic surges</t>
  </si>
  <si>
    <t>Season of the Worthy</t>
  </si>
  <si>
    <r>
      <rPr>
        <b/>
        <sz val="10"/>
        <color theme="1"/>
        <rFont val="Arial"/>
      </rPr>
      <t>Vortex sword</t>
    </r>
    <r>
      <rPr>
        <sz val="10"/>
        <color theme="1"/>
        <rFont val="Arial"/>
      </rPr>
      <t xml:space="preserve">
</t>
    </r>
    <r>
      <rPr>
        <i/>
        <sz val="10"/>
        <color theme="1"/>
        <rFont val="Arial"/>
      </rPr>
      <t>pre-heavy attack nerf, pre-sword nerf</t>
    </r>
  </si>
  <si>
    <t>Death's Razor w/ enhanced Surrounded, Lucent Blade, Tractor Cannon, solar surges, Banner of War, 1H2L combo</t>
  </si>
  <si>
    <r>
      <rPr>
        <b/>
        <sz val="10"/>
        <color theme="1"/>
        <rFont val="Arial"/>
      </rPr>
      <t>Aggressive linear fusion rifle</t>
    </r>
    <r>
      <rPr>
        <sz val="10"/>
        <color theme="1"/>
        <rFont val="Arial"/>
      </rPr>
      <t xml:space="preserve">
</t>
    </r>
    <r>
      <rPr>
        <i/>
        <sz val="10"/>
        <color theme="1"/>
        <rFont val="Arial"/>
      </rPr>
      <t>pre-patch charge time, pre-linear nerf</t>
    </r>
  </si>
  <si>
    <t>Briar's Contempt w/ enhanced Rewind Rounds + enhanced Surrounded, Lumina, Tractor Cannon, Foetracer surges</t>
  </si>
  <si>
    <t>start of Season of the Haunted</t>
  </si>
  <si>
    <r>
      <rPr>
        <b/>
        <sz val="10"/>
        <color theme="1"/>
        <rFont val="Arial"/>
      </rPr>
      <t>Swarm of the Raven</t>
    </r>
    <r>
      <rPr>
        <sz val="10"/>
        <color theme="1"/>
        <rFont val="Arial"/>
      </rPr>
      <t xml:space="preserve">
</t>
    </r>
    <r>
      <rPr>
        <i/>
        <sz val="10"/>
        <color theme="1"/>
        <rFont val="Arial"/>
      </rPr>
      <t>pre-rework Lunafactions + Tractor</t>
    </r>
  </si>
  <si>
    <t>pre-rework Tractor Cannon, Lumina, Foetracer surges</t>
  </si>
  <si>
    <r>
      <rPr>
        <b/>
        <sz val="10"/>
        <color theme="1"/>
        <rFont val="Arial"/>
      </rPr>
      <t>Retrofit Escapade</t>
    </r>
    <r>
      <rPr>
        <sz val="10"/>
        <color theme="1"/>
        <rFont val="Arial"/>
      </rPr>
      <t xml:space="preserve">
</t>
    </r>
    <r>
      <rPr>
        <i/>
        <sz val="10"/>
        <color theme="1"/>
        <rFont val="Arial"/>
      </rPr>
      <t>pre-fix Volatile Rounds</t>
    </r>
  </si>
  <si>
    <t>Actium War Rig, enhanced Fourth Time's the Charm + enhanced Target Lock, Lumina, Tractor Cannon, void surges</t>
  </si>
  <si>
    <t>Season of the Seraph</t>
  </si>
  <si>
    <r>
      <rPr>
        <b/>
        <sz val="10"/>
        <color theme="1"/>
        <rFont val="Arial"/>
      </rPr>
      <t>Thunderlord</t>
    </r>
    <r>
      <rPr>
        <sz val="10"/>
        <color theme="1"/>
        <rFont val="Arial"/>
      </rPr>
      <t xml:space="preserve">
</t>
    </r>
    <r>
      <rPr>
        <i/>
        <sz val="10"/>
        <color theme="1"/>
        <rFont val="Arial"/>
      </rPr>
      <t>pre-fix Lightning Rounds + Divinity</t>
    </r>
  </si>
  <si>
    <t>Actium War Rig, Lumina, Tractor Cannon, arc surges</t>
  </si>
  <si>
    <t>db ft testing</t>
  </si>
  <si>
    <t>wormgod grapple melee timings</t>
  </si>
  <si>
    <t>count</t>
  </si>
  <si>
    <t>wipe</t>
  </si>
  <si>
    <t>hp</t>
  </si>
  <si>
    <t>multiplier</t>
  </si>
  <si>
    <t>diff</t>
  </si>
  <si>
    <t>per player</t>
  </si>
  <si>
    <t>1x2</t>
  </si>
  <si>
    <t>1x3</t>
  </si>
  <si>
    <t>1x4</t>
  </si>
  <si>
    <t>1x5</t>
  </si>
  <si>
    <t>sucks</t>
  </si>
  <si>
    <t>db solo testing</t>
  </si>
  <si>
    <t>average:</t>
  </si>
  <si>
    <t>test</t>
  </si>
  <si>
    <t>nade</t>
  </si>
  <si>
    <t>snap</t>
  </si>
  <si>
    <t>wipe mod</t>
  </si>
  <si>
    <t>wipe calc</t>
  </si>
  <si>
    <t>bar</t>
  </si>
  <si>
    <t>bar mod</t>
  </si>
  <si>
    <t>bar calc</t>
  </si>
  <si>
    <t>Team</t>
  </si>
  <si>
    <t>Graph</t>
  </si>
  <si>
    <t>Main damage</t>
  </si>
  <si>
    <t>Total damage</t>
  </si>
  <si>
    <t>Gjally</t>
  </si>
  <si>
    <t>TTKs</t>
  </si>
  <si>
    <t>Until Its Return mag 1</t>
  </si>
  <si>
    <r>
      <rPr>
        <sz val="10"/>
        <color rgb="FF000000"/>
        <rFont val="Arial"/>
      </rPr>
      <t xml:space="preserve">Rhulk
</t>
    </r>
    <r>
      <rPr>
        <i/>
        <sz val="10"/>
        <color rgb="FF000000"/>
        <rFont val="Arial"/>
      </rPr>
      <t>instant final</t>
    </r>
  </si>
  <si>
    <t>Wendigo GL3 mag 1</t>
  </si>
  <si>
    <r>
      <rPr>
        <sz val="10"/>
        <color rgb="FF000000"/>
        <rFont val="Arial"/>
      </rPr>
      <t xml:space="preserve">Nezarec
</t>
    </r>
    <r>
      <rPr>
        <i/>
        <sz val="10"/>
        <color rgb="FF000000"/>
        <rFont val="Arial"/>
      </rPr>
      <t>instant final</t>
    </r>
  </si>
  <si>
    <t>Wendigo GL3 mag 2 (4/6)</t>
  </si>
  <si>
    <t>Calcs</t>
  </si>
  <si>
    <t>TT</t>
  </si>
  <si>
    <t>Until Its Return mag 2</t>
  </si>
  <si>
    <t>FTTC</t>
  </si>
  <si>
    <t>Note: Assumes pre-popped Nighthawk, pre-placed Tether + re-rally (perma), pre-cast Ballidorse, pre-shot Gjally, and pre-proced BnS, doesn't account for Wolfpack delay</t>
  </si>
  <si>
    <t>INFO</t>
  </si>
  <si>
    <t>TIMING</t>
  </si>
  <si>
    <t>CALCULATIONS</t>
  </si>
  <si>
    <t>DAMAGE</t>
  </si>
  <si>
    <t>Burst</t>
  </si>
  <si>
    <t>Sustained</t>
  </si>
  <si>
    <r>
      <rPr>
        <sz val="10"/>
        <color theme="1"/>
        <rFont val="Arial"/>
      </rPr>
      <t xml:space="preserve"> Arc Soul
</t>
    </r>
    <r>
      <rPr>
        <i/>
        <sz val="10"/>
        <color theme="1"/>
        <rFont val="Arial"/>
      </rPr>
      <t>Amplified</t>
    </r>
  </si>
  <si>
    <r>
      <rPr>
        <sz val="10"/>
        <color theme="1"/>
        <rFont val="Arial"/>
      </rPr>
      <t xml:space="preserve">Adaptive frame fusion
</t>
    </r>
    <r>
      <rPr>
        <i/>
        <sz val="10"/>
        <color theme="1"/>
        <rFont val="Arial"/>
      </rPr>
      <t>Charge MW, Ionized Battery, e. Rewind Rounds + Controlled Burst (Techeun Force)</t>
    </r>
  </si>
  <si>
    <r>
      <rPr>
        <sz val="10"/>
        <color theme="1"/>
        <rFont val="Arial"/>
      </rPr>
      <t xml:space="preserve">Adaptive frame fusion
</t>
    </r>
    <r>
      <rPr>
        <i/>
        <sz val="10"/>
        <color theme="1"/>
        <rFont val="Arial"/>
      </rPr>
      <t>Charge MW, Accelerated Coils, Surrounded (Dream Breaker), Rain of Fire</t>
    </r>
  </si>
  <si>
    <r>
      <rPr>
        <sz val="10"/>
        <color theme="1"/>
        <rFont val="Arial"/>
      </rPr>
      <t xml:space="preserve">Adaptive frame heavy GL
</t>
    </r>
    <r>
      <rPr>
        <i/>
        <sz val="10"/>
        <color theme="1"/>
        <rFont val="Arial"/>
      </rPr>
      <t>Explosive Light, Rain of Fire</t>
    </r>
  </si>
  <si>
    <r>
      <rPr>
        <sz val="10"/>
        <color theme="1"/>
        <rFont val="Arial"/>
      </rPr>
      <t xml:space="preserve">Ager's Scepter
</t>
    </r>
    <r>
      <rPr>
        <i/>
        <sz val="10"/>
        <color theme="1"/>
        <rFont val="Arial"/>
      </rPr>
      <t>Will Given Form, Cenotaph Mask, fired until mag hits 0</t>
    </r>
  </si>
  <si>
    <r>
      <rPr>
        <sz val="10"/>
        <color theme="1"/>
        <rFont val="Arial"/>
      </rPr>
      <t xml:space="preserve">Aggressive frame shotgun swapping
</t>
    </r>
    <r>
      <rPr>
        <i/>
        <sz val="10"/>
        <color theme="1"/>
        <rFont val="Arial"/>
      </rPr>
      <t>e. Surrounded (Imperial Decree), Surrounded (A Sudden Death), Rain of Fire, precision</t>
    </r>
  </si>
  <si>
    <r>
      <rPr>
        <sz val="10"/>
        <color theme="1"/>
        <rFont val="Arial"/>
      </rPr>
      <t xml:space="preserve">Aggressive frame sniper
</t>
    </r>
    <r>
      <rPr>
        <i/>
        <sz val="10"/>
        <color theme="1"/>
        <rFont val="Arial"/>
      </rPr>
      <t>Reconstruction + Firing Line (Succession), Rain of Fire</t>
    </r>
  </si>
  <si>
    <r>
      <rPr>
        <sz val="10"/>
        <color theme="1"/>
        <rFont val="Arial"/>
      </rPr>
      <t xml:space="preserve">Anarchy
</t>
    </r>
    <r>
      <rPr>
        <i/>
        <sz val="10"/>
        <color theme="1"/>
        <rFont val="Arial"/>
      </rPr>
      <t>two traps</t>
    </r>
  </si>
  <si>
    <r>
      <rPr>
        <sz val="10"/>
        <color theme="1"/>
        <rFont val="Arial"/>
      </rPr>
      <t xml:space="preserve">Apex Predator
</t>
    </r>
    <r>
      <rPr>
        <i/>
        <sz val="10"/>
        <color theme="1"/>
        <rFont val="Arial"/>
      </rPr>
      <t>BnS, Pack Hunter, Demolitionist with manual reloads</t>
    </r>
  </si>
  <si>
    <r>
      <rPr>
        <sz val="10"/>
        <color theme="1"/>
        <rFont val="Arial"/>
      </rPr>
      <t xml:space="preserve">Apex Predator
</t>
    </r>
    <r>
      <rPr>
        <i/>
        <sz val="10"/>
        <color theme="1"/>
        <rFont val="Arial"/>
      </rPr>
      <t>BnS, Pack Hunter, Reconstruction start, manual reloads, Lunafaction Boots, 3x Loader</t>
    </r>
  </si>
  <si>
    <r>
      <rPr>
        <sz val="10"/>
        <color theme="1"/>
        <rFont val="Arial"/>
      </rPr>
      <t xml:space="preserve">Apex Predator
</t>
    </r>
    <r>
      <rPr>
        <i/>
        <sz val="10"/>
        <color theme="1"/>
        <rFont val="Arial"/>
      </rPr>
      <t>BnS, Pack Hunter, Reconstruction start, Radiant Dance Machines</t>
    </r>
  </si>
  <si>
    <r>
      <rPr>
        <sz val="10"/>
        <color theme="1"/>
        <rFont val="Arial"/>
      </rPr>
      <t xml:space="preserve">Apex Predator
</t>
    </r>
    <r>
      <rPr>
        <i/>
        <sz val="10"/>
        <color theme="1"/>
        <rFont val="Arial"/>
      </rPr>
      <t>BnS, Pack Hunter, Reconstruction start, RoF with manual reloads</t>
    </r>
  </si>
  <si>
    <r>
      <rPr>
        <sz val="10"/>
        <color theme="1"/>
        <rFont val="Arial"/>
      </rPr>
      <t xml:space="preserve">Bequest
</t>
    </r>
    <r>
      <rPr>
        <i/>
        <sz val="10"/>
        <color theme="1"/>
        <rFont val="Arial"/>
      </rPr>
      <t>1H6L combo, Lucent Blades x3, Jagged Edge w/ e. Surrounded</t>
    </r>
  </si>
  <si>
    <r>
      <rPr>
        <sz val="10"/>
        <color theme="1"/>
        <rFont val="Arial"/>
      </rPr>
      <t xml:space="preserve">Blade Barrage
</t>
    </r>
    <r>
      <rPr>
        <i/>
        <sz val="10"/>
        <color theme="1"/>
        <rFont val="Arial"/>
      </rPr>
      <t>Feast of Light x4</t>
    </r>
  </si>
  <si>
    <r>
      <rPr>
        <sz val="10"/>
        <color theme="1"/>
        <rFont val="Arial"/>
      </rPr>
      <t xml:space="preserve">Briar's Contempt
</t>
    </r>
    <r>
      <rPr>
        <i/>
        <sz val="10"/>
        <color theme="1"/>
        <rFont val="Arial"/>
      </rPr>
      <t>e. Rewind Rounds + e. Surrounded, Rain of Fire</t>
    </r>
  </si>
  <si>
    <r>
      <rPr>
        <sz val="10"/>
        <color theme="1"/>
        <rFont val="Arial"/>
      </rPr>
      <t xml:space="preserve">Cataclysmic
</t>
    </r>
    <r>
      <rPr>
        <i/>
        <sz val="10"/>
        <color theme="1"/>
        <rFont val="Arial"/>
      </rPr>
      <t>Fourth Time's the Charm + Bait and Switch, Rain of Fire, Witherhoard/trace swaps</t>
    </r>
  </si>
  <si>
    <r>
      <rPr>
        <sz val="10"/>
        <color theme="1"/>
        <rFont val="Arial"/>
      </rPr>
      <t xml:space="preserve">Cloudstrike
</t>
    </r>
    <r>
      <rPr>
        <i/>
        <sz val="10"/>
        <color theme="1"/>
        <rFont val="Arial"/>
      </rPr>
      <t>Rain of Fire</t>
    </r>
  </si>
  <si>
    <r>
      <rPr>
        <sz val="10"/>
        <color theme="1"/>
        <rFont val="Arial"/>
      </rPr>
      <t xml:space="preserve">Cold Comfort
</t>
    </r>
    <r>
      <rPr>
        <i/>
        <sz val="10"/>
        <color theme="1"/>
        <rFont val="Arial"/>
      </rPr>
      <t>BnS, Pack Hunter, Envious Assassin x15 + Restoration Ritual start, Ballidorse Wrathweavers, Radiant Dance Machines</t>
    </r>
  </si>
  <si>
    <r>
      <rPr>
        <sz val="10"/>
        <color theme="1"/>
        <rFont val="Arial"/>
      </rPr>
      <t xml:space="preserve">Conditional Finality
</t>
    </r>
    <r>
      <rPr>
        <i/>
        <sz val="10"/>
        <color theme="1"/>
        <rFont val="Arial"/>
      </rPr>
      <t>Rain of Fire, Lunafaction Boots, 3x Loader</t>
    </r>
  </si>
  <si>
    <r>
      <rPr>
        <sz val="10"/>
        <color theme="1"/>
        <rFont val="Arial"/>
      </rPr>
      <t xml:space="preserve">Death's Razor
</t>
    </r>
    <r>
      <rPr>
        <i/>
        <sz val="10"/>
        <color theme="1"/>
        <rFont val="Arial"/>
      </rPr>
      <t>1H5L combo, Lucent Blades x3, Jagged Edge w/ e. Surrounded</t>
    </r>
  </si>
  <si>
    <r>
      <rPr>
        <sz val="10"/>
        <color theme="1"/>
        <rFont val="Arial"/>
      </rPr>
      <t xml:space="preserve">Deathbringer
</t>
    </r>
    <r>
      <rPr>
        <i/>
        <sz val="10"/>
        <color theme="1"/>
        <rFont val="Arial"/>
      </rPr>
      <t>max height on all projectiles, Radiant Dance Machines</t>
    </r>
  </si>
  <si>
    <r>
      <rPr>
        <sz val="10"/>
        <color theme="1"/>
        <rFont val="Arial"/>
      </rPr>
      <t xml:space="preserve">Devil's Ruin
</t>
    </r>
    <r>
      <rPr>
        <i/>
        <sz val="10"/>
        <color theme="1"/>
        <rFont val="Arial"/>
      </rPr>
      <t>charged laser, Rain of Fire</t>
    </r>
  </si>
  <si>
    <r>
      <rPr>
        <sz val="10"/>
        <color theme="1"/>
        <rFont val="Arial"/>
      </rPr>
      <t xml:space="preserve">Dimensional Hypotrochoid
</t>
    </r>
    <r>
      <rPr>
        <i/>
        <sz val="10"/>
        <color theme="1"/>
        <rFont val="Arial"/>
      </rPr>
      <t>Envious Assassin x15, Vorpal Weapon, Rain of Fire</t>
    </r>
  </si>
  <si>
    <r>
      <rPr>
        <sz val="10"/>
        <color theme="1"/>
        <rFont val="Arial"/>
      </rPr>
      <t xml:space="preserve">Divinity
</t>
    </r>
    <r>
      <rPr>
        <i/>
        <sz val="10"/>
        <color theme="1"/>
        <rFont val="Arial"/>
      </rPr>
      <t>Cenotaph Mask, perfect tapping</t>
    </r>
  </si>
  <si>
    <r>
      <rPr>
        <sz val="10"/>
        <color theme="1"/>
        <rFont val="Arial"/>
      </rPr>
      <t xml:space="preserve">Divinity
</t>
    </r>
    <r>
      <rPr>
        <i/>
        <sz val="10"/>
        <color theme="1"/>
        <rFont val="Arial"/>
      </rPr>
      <t>Cenotaph Mask, sustained fire</t>
    </r>
  </si>
  <si>
    <r>
      <rPr>
        <sz val="10"/>
        <color theme="1"/>
        <rFont val="Arial"/>
      </rPr>
      <t xml:space="preserve">Forerunner
</t>
    </r>
    <r>
      <rPr>
        <i/>
        <sz val="10"/>
        <color theme="1"/>
        <rFont val="Arial"/>
      </rPr>
      <t>Rain of Fire</t>
    </r>
  </si>
  <si>
    <r>
      <rPr>
        <sz val="10"/>
        <color theme="1"/>
        <rFont val="Arial"/>
      </rPr>
      <t xml:space="preserve">Fusion grenade
</t>
    </r>
    <r>
      <rPr>
        <i/>
        <sz val="10"/>
        <color theme="1"/>
        <rFont val="Arial"/>
      </rPr>
      <t>Death Throes x5, Touch of Flame, Ember of Ashes</t>
    </r>
  </si>
  <si>
    <r>
      <rPr>
        <sz val="10"/>
        <color theme="1"/>
        <rFont val="Arial"/>
      </rPr>
      <t xml:space="preserve">Gathering Storm
</t>
    </r>
    <r>
      <rPr>
        <i/>
        <sz val="10"/>
        <color theme="1"/>
        <rFont val="Arial"/>
      </rPr>
      <t>Feast of Light x4</t>
    </r>
  </si>
  <si>
    <r>
      <rPr>
        <sz val="10"/>
        <color theme="1"/>
        <rFont val="Arial"/>
      </rPr>
      <t xml:space="preserve">Gjallarhorn
</t>
    </r>
    <r>
      <rPr>
        <i/>
        <sz val="10"/>
        <color theme="1"/>
        <rFont val="Arial"/>
      </rPr>
      <t>Rain of Fire</t>
    </r>
  </si>
  <si>
    <r>
      <rPr>
        <sz val="10"/>
        <color theme="1"/>
        <rFont val="Arial"/>
      </rPr>
      <t xml:space="preserve">Golden Gun - Marksman
</t>
    </r>
    <r>
      <rPr>
        <i/>
        <sz val="10"/>
        <color theme="1"/>
        <rFont val="Arial"/>
      </rPr>
      <t>Celestial Nighthawk, Kinetic Surge x3</t>
    </r>
  </si>
  <si>
    <r>
      <rPr>
        <sz val="10"/>
        <color theme="1"/>
        <rFont val="Arial"/>
      </rPr>
      <t xml:space="preserve">Golden Gun - Marksman
</t>
    </r>
    <r>
      <rPr>
        <i/>
        <sz val="10"/>
        <color theme="1"/>
        <rFont val="Arial"/>
      </rPr>
      <t>Feast of Light x4, Kinetic Surge x3</t>
    </r>
  </si>
  <si>
    <r>
      <rPr>
        <sz val="10"/>
        <color theme="1"/>
        <rFont val="Arial"/>
      </rPr>
      <t xml:space="preserve">Grand Overture
</t>
    </r>
    <r>
      <rPr>
        <i/>
        <sz val="10"/>
        <color theme="1"/>
        <rFont val="Arial"/>
      </rPr>
      <t>Missiles Loaded x20</t>
    </r>
  </si>
  <si>
    <r>
      <rPr>
        <sz val="10"/>
        <color theme="1"/>
        <rFont val="Arial"/>
      </rPr>
      <t xml:space="preserve">Heir Apparent
</t>
    </r>
    <r>
      <rPr>
        <i/>
        <sz val="10"/>
        <color theme="1"/>
        <rFont val="Arial"/>
      </rPr>
      <t>Actium War Rig</t>
    </r>
  </si>
  <si>
    <r>
      <rPr>
        <sz val="10"/>
        <color theme="1"/>
        <rFont val="Arial"/>
      </rPr>
      <t xml:space="preserve">High-impact fusion
</t>
    </r>
    <r>
      <rPr>
        <i/>
        <sz val="10"/>
        <color theme="1"/>
        <rFont val="Arial"/>
      </rPr>
      <t>energy, charge MW, Enhanced Battery, Envious Assassin x15 + Controlled Burst (Loaded Question), Rain of Fire</t>
    </r>
  </si>
  <si>
    <r>
      <rPr>
        <sz val="10"/>
        <color theme="1"/>
        <rFont val="Arial"/>
      </rPr>
      <t xml:space="preserve">High-impact fusion
</t>
    </r>
    <r>
      <rPr>
        <i/>
        <sz val="10"/>
        <color theme="1"/>
        <rFont val="Arial"/>
      </rPr>
      <t>energy, charge MW, Accelerated Coils, Cornered + e. Surrounded (Midha's Reckoning), Rain of Fire</t>
    </r>
  </si>
  <si>
    <r>
      <rPr>
        <sz val="10"/>
        <color theme="1"/>
        <rFont val="Arial"/>
      </rPr>
      <t xml:space="preserve">Izanagi's Burden
</t>
    </r>
    <r>
      <rPr>
        <i/>
        <sz val="10"/>
        <color theme="1"/>
        <rFont val="Arial"/>
      </rPr>
      <t>including lockout (no swapping)</t>
    </r>
  </si>
  <si>
    <r>
      <rPr>
        <sz val="10"/>
        <color theme="1"/>
        <rFont val="Arial"/>
      </rPr>
      <t xml:space="preserve">Legend of Acrius
</t>
    </r>
    <r>
      <rPr>
        <i/>
        <sz val="10"/>
        <color theme="1"/>
        <rFont val="Arial"/>
      </rPr>
      <t>Trench Barrel, 3x Loader</t>
    </r>
  </si>
  <si>
    <r>
      <rPr>
        <sz val="10"/>
        <color theme="1"/>
        <rFont val="Arial"/>
      </rPr>
      <t xml:space="preserve">Leviathan's Breath
</t>
    </r>
    <r>
      <rPr>
        <i/>
        <sz val="10"/>
        <color theme="1"/>
        <rFont val="Arial"/>
      </rPr>
      <t>Archer's Tempo, Lunafaction Boots, 3x Loader</t>
    </r>
  </si>
  <si>
    <r>
      <rPr>
        <sz val="10"/>
        <color theme="1"/>
        <rFont val="Arial"/>
      </rPr>
      <t xml:space="preserve">Lightweight frame shotgun swapping
</t>
    </r>
    <r>
      <rPr>
        <i/>
        <sz val="10"/>
        <color theme="1"/>
        <rFont val="Arial"/>
      </rPr>
      <t>Vorpal Weapon (Riiswalker), Surrounded (Xenoclast IV), Rain of Fire, precision</t>
    </r>
  </si>
  <si>
    <r>
      <rPr>
        <sz val="10"/>
        <color theme="1"/>
        <rFont val="Arial"/>
      </rPr>
      <t xml:space="preserve">Lord of Wolves
</t>
    </r>
    <r>
      <rPr>
        <i/>
        <sz val="10"/>
        <color theme="1"/>
        <rFont val="Arial"/>
      </rPr>
      <t>Release the Wolves, precision, Rain of Fire</t>
    </r>
  </si>
  <si>
    <r>
      <rPr>
        <sz val="10"/>
        <color theme="1"/>
        <rFont val="Arial"/>
      </rPr>
      <t xml:space="preserve">Malfeasance
</t>
    </r>
    <r>
      <rPr>
        <i/>
        <sz val="10"/>
        <color theme="1"/>
        <rFont val="Arial"/>
      </rPr>
      <t>Lucky Pants, 15 shot burst, blighted</t>
    </r>
  </si>
  <si>
    <r>
      <rPr>
        <sz val="10"/>
        <color theme="1"/>
        <rFont val="Arial"/>
      </rPr>
      <t xml:space="preserve">Merciless
</t>
    </r>
    <r>
      <rPr>
        <i/>
        <sz val="10"/>
        <color theme="1"/>
        <rFont val="Arial"/>
      </rPr>
      <t>Conserve Momentum x15, Impetus, Radiant Dance Machines</t>
    </r>
  </si>
  <si>
    <r>
      <rPr>
        <sz val="10"/>
        <color theme="1"/>
        <rFont val="Arial"/>
      </rPr>
      <t xml:space="preserve">Merciless
</t>
    </r>
    <r>
      <rPr>
        <i/>
        <sz val="10"/>
        <color theme="1"/>
        <rFont val="Arial"/>
      </rPr>
      <t>Conserve Momentum x15, Impetus, manual reloads, Lunafaction Boots, 3x Loader</t>
    </r>
  </si>
  <si>
    <r>
      <rPr>
        <sz val="10"/>
        <color theme="1"/>
        <rFont val="Arial"/>
      </rPr>
      <t xml:space="preserve">One Thousand Voices
</t>
    </r>
    <r>
      <rPr>
        <i/>
        <sz val="10"/>
        <color theme="1"/>
        <rFont val="Arial"/>
      </rPr>
      <t>Ember of Ashes, Rain of Fire</t>
    </r>
  </si>
  <si>
    <r>
      <rPr>
        <sz val="10"/>
        <color theme="1"/>
        <rFont val="Arial"/>
      </rPr>
      <t xml:space="preserve">Parasite
</t>
    </r>
    <r>
      <rPr>
        <i/>
        <sz val="10"/>
        <color theme="1"/>
        <rFont val="Arial"/>
      </rPr>
      <t>Worm's Hunger x20, Rain of Fire, Lunafaction Boots, 3x Loader</t>
    </r>
  </si>
  <si>
    <r>
      <rPr>
        <sz val="10"/>
        <color theme="1"/>
        <rFont val="Arial"/>
      </rPr>
      <t xml:space="preserve">Pinpoint slug frame shotgun swapping
</t>
    </r>
    <r>
      <rPr>
        <i/>
        <sz val="10"/>
        <color theme="1"/>
        <rFont val="Arial"/>
      </rPr>
      <t>Surrounded (Fortissimo-11), Surrounded (Sojourner's Tale), Rain of Fire</t>
    </r>
  </si>
  <si>
    <r>
      <rPr>
        <sz val="10"/>
        <color theme="1"/>
        <rFont val="Arial"/>
      </rPr>
      <t xml:space="preserve">Pulse grenade
</t>
    </r>
    <r>
      <rPr>
        <i/>
        <sz val="10"/>
        <color theme="1"/>
        <rFont val="Arial"/>
      </rPr>
      <t>Empowered Grenade x2, Touch of Thunder</t>
    </r>
  </si>
  <si>
    <r>
      <rPr>
        <sz val="10"/>
        <color theme="1"/>
        <rFont val="Arial"/>
      </rPr>
      <t xml:space="preserve">Rapid-fire frame fusion
</t>
    </r>
    <r>
      <rPr>
        <i/>
        <sz val="10"/>
        <color theme="1"/>
        <rFont val="Arial"/>
      </rPr>
      <t>Charge MW, Accelerated Coils, Vorpal Weapon (Cartesian Coordinate), Rain of Fire</t>
    </r>
  </si>
  <si>
    <r>
      <rPr>
        <sz val="10"/>
        <color theme="1"/>
        <rFont val="Arial"/>
      </rPr>
      <t xml:space="preserve">Rapid-fire frame shotgun
</t>
    </r>
    <r>
      <rPr>
        <i/>
        <sz val="10"/>
        <color theme="1"/>
        <rFont val="Arial"/>
      </rPr>
      <t>e. Surrounded (IKELOS_SG_V1.0.3), Rain of Fire, precision</t>
    </r>
  </si>
  <si>
    <r>
      <rPr>
        <sz val="10"/>
        <color theme="1"/>
        <rFont val="Arial"/>
      </rPr>
      <t xml:space="preserve">Rapid-fire frame sniper
</t>
    </r>
    <r>
      <rPr>
        <i/>
        <sz val="10"/>
        <color theme="1"/>
        <rFont val="Arial"/>
      </rPr>
      <t>e. Rewind Rounds + e. Bait and Switch (The Supremacy), Rain of Fire</t>
    </r>
  </si>
  <si>
    <r>
      <rPr>
        <sz val="10"/>
        <color theme="1"/>
        <rFont val="Arial"/>
      </rPr>
      <t xml:space="preserve">Retrofit Escapade
</t>
    </r>
    <r>
      <rPr>
        <i/>
        <sz val="10"/>
        <color theme="1"/>
        <rFont val="Arial"/>
      </rPr>
      <t>e. Target Lock, Gyrfalcon's Hauberk, Lunafaction Boots, 3x Loader</t>
    </r>
  </si>
  <si>
    <r>
      <rPr>
        <sz val="10"/>
        <color theme="1"/>
        <rFont val="Arial"/>
      </rPr>
      <t xml:space="preserve">Shadowshot: Moebius Quiver
</t>
    </r>
    <r>
      <rPr>
        <i/>
        <sz val="10"/>
        <color theme="1"/>
        <rFont val="Arial"/>
      </rPr>
      <t>Feast of Light x4</t>
    </r>
  </si>
  <si>
    <r>
      <rPr>
        <sz val="10"/>
        <color theme="1"/>
        <rFont val="Arial"/>
      </rPr>
      <t xml:space="preserve">Sleeper Simulant
</t>
    </r>
    <r>
      <rPr>
        <i/>
        <sz val="10"/>
        <color theme="1"/>
        <rFont val="Arial"/>
      </rPr>
      <t>Rain of Fire</t>
    </r>
  </si>
  <si>
    <r>
      <rPr>
        <sz val="10"/>
        <color theme="1"/>
        <rFont val="Arial"/>
      </rPr>
      <t xml:space="preserve">Solar grenade
</t>
    </r>
    <r>
      <rPr>
        <i/>
        <sz val="10"/>
        <color theme="1"/>
        <rFont val="Arial"/>
      </rPr>
      <t>Sunbracers, Touch of Flame, 6 grenades</t>
    </r>
  </si>
  <si>
    <r>
      <rPr>
        <sz val="10"/>
        <color theme="1"/>
        <rFont val="Arial"/>
      </rPr>
      <t xml:space="preserve">Solar grenade
</t>
    </r>
    <r>
      <rPr>
        <i/>
        <sz val="10"/>
        <color theme="1"/>
        <rFont val="Arial"/>
      </rPr>
      <t>Death Throes x5, Touch of Flame</t>
    </r>
  </si>
  <si>
    <r>
      <rPr>
        <sz val="10"/>
        <color theme="1"/>
        <rFont val="Arial"/>
      </rPr>
      <t xml:space="preserve">Storm grenade
</t>
    </r>
    <r>
      <rPr>
        <i/>
        <sz val="10"/>
        <color theme="1"/>
        <rFont val="Arial"/>
      </rPr>
      <t>Empowered Grenade x2, Touch of Thunder</t>
    </r>
  </si>
  <si>
    <r>
      <rPr>
        <sz val="10"/>
        <color theme="1"/>
        <rFont val="Arial"/>
      </rPr>
      <t xml:space="preserve">Taipan-4fr
</t>
    </r>
    <r>
      <rPr>
        <i/>
        <sz val="10"/>
        <color theme="1"/>
        <rFont val="Arial"/>
      </rPr>
      <t>Triple Tap + Firing Line, Rain of Fire</t>
    </r>
  </si>
  <si>
    <r>
      <rPr>
        <sz val="10"/>
        <color theme="1"/>
        <rFont val="Arial"/>
      </rPr>
      <t xml:space="preserve">The Fourth Horseman
</t>
    </r>
    <r>
      <rPr>
        <i/>
        <sz val="10"/>
        <color theme="1"/>
        <rFont val="Arial"/>
      </rPr>
      <t>Rain of Fire, precision</t>
    </r>
  </si>
  <si>
    <r>
      <rPr>
        <sz val="10"/>
        <color theme="1"/>
        <rFont val="Arial"/>
      </rPr>
      <t xml:space="preserve">The Fourth Horseman
</t>
    </r>
    <r>
      <rPr>
        <i/>
        <sz val="10"/>
        <color theme="1"/>
        <rFont val="Arial"/>
      </rPr>
      <t>Radiant Dance Machines, precision</t>
    </r>
  </si>
  <si>
    <r>
      <rPr>
        <sz val="10"/>
        <color theme="1"/>
        <rFont val="Arial"/>
      </rPr>
      <t xml:space="preserve">The Hothead
</t>
    </r>
    <r>
      <rPr>
        <i/>
        <sz val="10"/>
        <color theme="1"/>
        <rFont val="Arial"/>
      </rPr>
      <t>Field Prep + Clown Cartridge, Pack Hunter, manual reloads</t>
    </r>
    <r>
      <rPr>
        <sz val="10"/>
        <color theme="1"/>
        <rFont val="Arial"/>
      </rPr>
      <t xml:space="preserve">, </t>
    </r>
    <r>
      <rPr>
        <i/>
        <sz val="10"/>
        <color theme="1"/>
        <rFont val="Arial"/>
      </rPr>
      <t>Lunafaction Boots, 3x Loader</t>
    </r>
  </si>
  <si>
    <r>
      <rPr>
        <sz val="10"/>
        <color theme="1"/>
        <rFont val="Arial"/>
      </rPr>
      <t xml:space="preserve">The Hothead
</t>
    </r>
    <r>
      <rPr>
        <i/>
        <sz val="10"/>
        <color theme="1"/>
        <rFont val="Arial"/>
      </rPr>
      <t>Field Prep + Clown Cartridge, Pack Hunter, Radiant Dance Machines</t>
    </r>
  </si>
  <si>
    <r>
      <rPr>
        <sz val="10"/>
        <color theme="1"/>
        <rFont val="Arial"/>
      </rPr>
      <t>The Lament</t>
    </r>
    <r>
      <rPr>
        <i/>
        <sz val="10"/>
        <color theme="1"/>
        <rFont val="Arial"/>
      </rPr>
      <t xml:space="preserve">
2L1H1R combo, Lucent Blades x3</t>
    </r>
  </si>
  <si>
    <t>11+3</t>
  </si>
  <si>
    <r>
      <rPr>
        <sz val="10"/>
        <color theme="1"/>
        <rFont val="Arial"/>
      </rPr>
      <t xml:space="preserve">The Lament
</t>
    </r>
    <r>
      <rPr>
        <i/>
        <sz val="10"/>
        <color theme="1"/>
        <rFont val="Arial"/>
      </rPr>
      <t>3L1H2R combo, Lucent Blades x3</t>
    </r>
  </si>
  <si>
    <t>7+</t>
  </si>
  <si>
    <r>
      <rPr>
        <sz val="10"/>
        <color theme="1"/>
        <rFont val="Arial"/>
      </rPr>
      <t xml:space="preserve">The Lament
</t>
    </r>
    <r>
      <rPr>
        <i/>
        <sz val="10"/>
        <color theme="1"/>
        <rFont val="Arial"/>
      </rPr>
      <t>4L1H3R combo, Lucent Blades x3</t>
    </r>
  </si>
  <si>
    <t>6+4</t>
  </si>
  <si>
    <r>
      <rPr>
        <sz val="10"/>
        <color theme="1"/>
        <rFont val="Arial"/>
      </rPr>
      <t xml:space="preserve">The Wardcliff Coil
</t>
    </r>
    <r>
      <rPr>
        <i/>
        <sz val="10"/>
        <color theme="1"/>
        <rFont val="Arial"/>
      </rPr>
      <t>Radiant Dance Machines</t>
    </r>
  </si>
  <si>
    <r>
      <rPr>
        <sz val="10"/>
        <color theme="1"/>
        <rFont val="Arial"/>
      </rPr>
      <t xml:space="preserve">Threadling grenade
</t>
    </r>
    <r>
      <rPr>
        <i/>
        <sz val="10"/>
        <color theme="1"/>
        <rFont val="Arial"/>
      </rPr>
      <t>Death Throes x5, Thread of Evolution</t>
    </r>
  </si>
  <si>
    <r>
      <rPr>
        <sz val="10"/>
        <color theme="1"/>
        <rFont val="Arial"/>
      </rPr>
      <t xml:space="preserve">Throne-Cleaver
</t>
    </r>
    <r>
      <rPr>
        <i/>
        <sz val="10"/>
        <color theme="1"/>
        <rFont val="Arial"/>
      </rPr>
      <t>1H5L combo, Lucent Blades x3, Jagged Edge w/ e. Surrounded</t>
    </r>
  </si>
  <si>
    <r>
      <rPr>
        <sz val="10"/>
        <color theme="1"/>
        <rFont val="Arial"/>
      </rPr>
      <t xml:space="preserve">Throwing Hammer
</t>
    </r>
    <r>
      <rPr>
        <i/>
        <sz val="10"/>
        <color theme="1"/>
        <rFont val="Arial"/>
      </rPr>
      <t>Roaring Flames x3, Biotic Enhancements</t>
    </r>
  </si>
  <si>
    <r>
      <rPr>
        <sz val="10"/>
        <color theme="1"/>
        <rFont val="Arial"/>
      </rPr>
      <t xml:space="preserve">Thundercrash
</t>
    </r>
    <r>
      <rPr>
        <i/>
        <sz val="10"/>
        <color theme="1"/>
        <rFont val="Arial"/>
      </rPr>
      <t>Cuirass of the Falling Star</t>
    </r>
  </si>
  <si>
    <r>
      <rPr>
        <sz val="10"/>
        <color theme="1"/>
        <rFont val="Arial"/>
      </rPr>
      <t xml:space="preserve">Thunderlord
</t>
    </r>
    <r>
      <rPr>
        <i/>
        <sz val="10"/>
        <color theme="1"/>
        <rFont val="Arial"/>
      </rPr>
      <t>Actium War Rig</t>
    </r>
  </si>
  <si>
    <r>
      <rPr>
        <sz val="10"/>
        <color theme="1"/>
        <rFont val="Arial"/>
      </rPr>
      <t xml:space="preserve">Trace rifle
</t>
    </r>
    <r>
      <rPr>
        <i/>
        <sz val="10"/>
        <color theme="1"/>
        <rFont val="Arial"/>
      </rPr>
      <t>Field Prep + Frenzy (Acasia's Dejection), Cenotaph Mask, Lunafaction Boots, 3x Loader</t>
    </r>
  </si>
  <si>
    <r>
      <rPr>
        <sz val="10"/>
        <color theme="1"/>
        <rFont val="Arial"/>
      </rPr>
      <t xml:space="preserve">Tripmine Grenade
</t>
    </r>
    <r>
      <rPr>
        <i/>
        <sz val="10"/>
        <color theme="1"/>
        <rFont val="Arial"/>
      </rPr>
      <t>Young Ahamkara's Spine, Ember of Ashes</t>
    </r>
  </si>
  <si>
    <r>
      <rPr>
        <sz val="10"/>
        <color theme="1"/>
        <rFont val="Arial"/>
      </rPr>
      <t xml:space="preserve">Two-Tailed Fox
</t>
    </r>
    <r>
      <rPr>
        <i/>
        <sz val="10"/>
        <color theme="1"/>
        <rFont val="Arial"/>
      </rPr>
      <t>Radiant Dance Machines</t>
    </r>
  </si>
  <si>
    <r>
      <rPr>
        <sz val="10"/>
        <color theme="1"/>
        <rFont val="Arial"/>
      </rPr>
      <t xml:space="preserve">Wilderflight
</t>
    </r>
    <r>
      <rPr>
        <i/>
        <sz val="10"/>
        <color theme="1"/>
        <rFont val="Arial"/>
      </rPr>
      <t>Rain of Fire, Lunafaction Boots, 3x Loader</t>
    </r>
  </si>
  <si>
    <r>
      <rPr>
        <sz val="10"/>
        <color theme="1"/>
        <rFont val="Arial"/>
      </rPr>
      <t xml:space="preserve">Witherhoard
</t>
    </r>
    <r>
      <rPr>
        <i/>
        <sz val="10"/>
        <color theme="1"/>
        <rFont val="Arial"/>
      </rPr>
      <t>direct impact</t>
    </r>
  </si>
  <si>
    <r>
      <rPr>
        <sz val="10"/>
        <color theme="1"/>
        <rFont val="Arial"/>
      </rPr>
      <t xml:space="preserve">Witherhoard
</t>
    </r>
    <r>
      <rPr>
        <i/>
        <sz val="10"/>
        <color theme="1"/>
        <rFont val="Arial"/>
      </rPr>
      <t>ground</t>
    </r>
  </si>
  <si>
    <r>
      <rPr>
        <sz val="10"/>
        <color theme="1"/>
        <rFont val="Arial"/>
      </rPr>
      <t xml:space="preserve">Xenophage
</t>
    </r>
    <r>
      <rPr>
        <i/>
        <sz val="10"/>
        <color theme="1"/>
        <rFont val="Arial"/>
      </rPr>
      <t>Actium War Rig</t>
    </r>
  </si>
  <si>
    <t>Volatile</t>
  </si>
  <si>
    <t>Scorch</t>
  </si>
  <si>
    <t>Ignite</t>
  </si>
  <si>
    <t>Shatter</t>
  </si>
  <si>
    <t>Affinity</t>
  </si>
  <si>
    <t>Archetype</t>
  </si>
  <si>
    <t>Damage</t>
  </si>
  <si>
    <t>Initial projectiles</t>
  </si>
  <si>
    <t>Ignition</t>
  </si>
  <si>
    <t>Combination Blow</t>
  </si>
  <si>
    <t>One-Two Punch, Combination Blow x3, Lethal Current</t>
  </si>
  <si>
    <t>Aftershock</t>
  </si>
  <si>
    <t>Roaring Flames x3, Biotic Enhancements</t>
  </si>
  <si>
    <t>One-Two Punch, Roaring Flames x3, Biotic Enhancements</t>
  </si>
  <si>
    <t>Wave</t>
  </si>
  <si>
    <t>Slam</t>
  </si>
  <si>
    <t>Spark of Feedback, One-Two Punch, Knockout, Biotic Enhancements</t>
  </si>
  <si>
    <t>One-Two Punch, Offensive Bulwark, Biotic Enhancements</t>
  </si>
  <si>
    <t>Grapple Melee</t>
  </si>
  <si>
    <t>One-Two Punch, Biotic Enhancements</t>
  </si>
  <si>
    <t>Flux Grenade</t>
  </si>
  <si>
    <t>Attachment</t>
  </si>
  <si>
    <t>Detonation</t>
  </si>
  <si>
    <t>Lightning Grenade</t>
  </si>
  <si>
    <t>Tick 1</t>
  </si>
  <si>
    <t>Jolt 1</t>
  </si>
  <si>
    <t>Tick 2</t>
  </si>
  <si>
    <t>Jolt 2</t>
  </si>
  <si>
    <t>Tick 3</t>
  </si>
  <si>
    <t>Jolt 3</t>
  </si>
  <si>
    <t>Tick 4</t>
  </si>
  <si>
    <t>Jolt 4</t>
  </si>
  <si>
    <t>Tick 5</t>
  </si>
  <si>
    <t>Jolt 5</t>
  </si>
  <si>
    <t>Pulse Grenade</t>
  </si>
  <si>
    <t>Tick 1 + impact</t>
  </si>
  <si>
    <t>Tick 6</t>
  </si>
  <si>
    <t>Tick 7</t>
  </si>
  <si>
    <t>Jolt 6</t>
  </si>
  <si>
    <t>Tick 8</t>
  </si>
  <si>
    <t>Jolt 7</t>
  </si>
  <si>
    <t>Storm Grenade</t>
  </si>
  <si>
    <t>Vortex Grenade</t>
  </si>
  <si>
    <t>Scatter Grenade</t>
  </si>
  <si>
    <t>Magnetic Grenade</t>
  </si>
  <si>
    <t>Tripmine Grenade</t>
  </si>
  <si>
    <t>Thermite Grenade</t>
  </si>
  <si>
    <t>Incendiary Grenade</t>
  </si>
  <si>
    <t>Solar Grenade</t>
  </si>
  <si>
    <t>Swarm Grenade</t>
  </si>
  <si>
    <t>Fusion Grenade</t>
  </si>
  <si>
    <t>Glacier Grenade</t>
  </si>
  <si>
    <t>Threadling Grenade</t>
  </si>
  <si>
    <t>Getaway Artist</t>
  </si>
  <si>
    <t>Knock Em Down, Radiant, Kinetic Weapon Surge x3, Feast of Light x4</t>
  </si>
  <si>
    <t>Knock Em Down, Radiant, Kinetic Weapon Surge x3, Celestial Nighthawk</t>
  </si>
  <si>
    <t>Biotic Enhancements, HLLLHLLLHLLH</t>
  </si>
  <si>
    <t>Tick 9</t>
  </si>
  <si>
    <t>Tick 10</t>
  </si>
  <si>
    <t>Tick 11</t>
  </si>
  <si>
    <t>Tick 12</t>
  </si>
  <si>
    <t>Tick 13</t>
  </si>
  <si>
    <t>Tick 14</t>
  </si>
  <si>
    <t>Tick 15</t>
  </si>
  <si>
    <t>Tick 16</t>
  </si>
  <si>
    <t>Tick 17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</si>
</sst>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yyyy\-mm\-dd"/>
    <numFmt numFmtId="165" formatCode="0.000"/>
    <numFmt numFmtId="166" formatCode="#,###"/>
    <numFmt numFmtId="167" formatCode="0.0"/>
  </numFmts>
  <fonts count="37" x14ac:knownFonts="1">
    <font>
      <sz val="10"/>
      <color rgb="FF000000"/>
      <name val="Arial"/>
      <scheme val="minor"/>
    </font>
    <font>
      <b/>
      <sz val="10"/>
      <color rgb="FFFFFFFF"/>
      <name val="Arial"/>
      <scheme val="minor"/>
    </font>
    <font>
      <b/>
      <u/>
      <sz val="11"/>
      <color rgb="FFD9F0FF"/>
      <name val="Arial"/>
    </font>
    <font>
      <b/>
      <sz val="15"/>
      <color rgb="FFFFFFFF"/>
      <name val="Arial"/>
      <scheme val="minor"/>
    </font>
    <font>
      <b/>
      <i/>
      <sz val="12"/>
      <color rgb="FF000000"/>
      <name val="Arial"/>
    </font>
    <font>
      <sz val="10"/>
      <color theme="1"/>
      <name val="Arial"/>
      <scheme val="minor"/>
    </font>
    <font>
      <b/>
      <sz val="10"/>
      <color rgb="FFFFFFFF"/>
      <name val="Arial"/>
      <scheme val="minor"/>
    </font>
    <font>
      <b/>
      <sz val="10"/>
      <color theme="1"/>
      <name val="Arial"/>
      <scheme val="minor"/>
    </font>
    <font>
      <sz val="10"/>
      <name val="Arial"/>
    </font>
    <font>
      <b/>
      <sz val="10"/>
      <color theme="1"/>
      <name val="Arial"/>
      <scheme val="minor"/>
    </font>
    <font>
      <b/>
      <i/>
      <sz val="12"/>
      <color rgb="FF000000"/>
      <name val="Arial"/>
      <scheme val="minor"/>
    </font>
    <font>
      <i/>
      <sz val="12"/>
      <color theme="1"/>
      <name val="Arial"/>
      <scheme val="minor"/>
    </font>
    <font>
      <sz val="10"/>
      <color rgb="FF000000"/>
      <name val="Arial"/>
      <scheme val="minor"/>
    </font>
    <font>
      <b/>
      <i/>
      <sz val="18"/>
      <color rgb="FFFFFFFF"/>
      <name val="Arial"/>
      <scheme val="minor"/>
    </font>
    <font>
      <b/>
      <i/>
      <sz val="12"/>
      <color theme="1"/>
      <name val="Arial"/>
      <scheme val="minor"/>
    </font>
    <font>
      <i/>
      <sz val="10"/>
      <color theme="1"/>
      <name val="Arial"/>
      <scheme val="minor"/>
    </font>
    <font>
      <sz val="10"/>
      <color rgb="FF000000"/>
      <name val="Arial"/>
    </font>
    <font>
      <b/>
      <sz val="10"/>
      <color rgb="FFFFFFFF"/>
      <name val="Arial"/>
    </font>
    <font>
      <b/>
      <sz val="11"/>
      <color theme="1"/>
      <name val="Arial"/>
    </font>
    <font>
      <sz val="10"/>
      <color theme="1"/>
      <name val="Arial"/>
    </font>
    <font>
      <i/>
      <sz val="11"/>
      <color theme="1"/>
      <name val="Arial"/>
    </font>
    <font>
      <b/>
      <sz val="10"/>
      <color rgb="FF000000"/>
      <name val="Arial"/>
    </font>
    <font>
      <sz val="10"/>
      <color rgb="FFFFFFFF"/>
      <name val="Arial"/>
      <scheme val="minor"/>
    </font>
    <font>
      <u/>
      <sz val="10"/>
      <color rgb="FF0000FF"/>
      <name val="Arial"/>
    </font>
    <font>
      <b/>
      <i/>
      <sz val="10"/>
      <color theme="1"/>
      <name val="Arial"/>
      <scheme val="minor"/>
    </font>
    <font>
      <b/>
      <i/>
      <sz val="10"/>
      <color rgb="FFFFFFFF"/>
      <name val="Arial"/>
      <scheme val="minor"/>
    </font>
    <font>
      <sz val="9"/>
      <color theme="1"/>
      <name val="Arial"/>
      <scheme val="minor"/>
    </font>
    <font>
      <b/>
      <sz val="10"/>
      <color rgb="FF000000"/>
      <name val="Arial"/>
      <scheme val="minor"/>
    </font>
    <font>
      <b/>
      <i/>
      <sz val="10"/>
      <color rgb="FF000000"/>
      <name val="Arial"/>
      <scheme val="minor"/>
    </font>
    <font>
      <u/>
      <sz val="11"/>
      <color rgb="FFD9F0FF"/>
      <name val="Arial"/>
    </font>
    <font>
      <b/>
      <i/>
      <sz val="10"/>
      <color rgb="FFFFFFFF"/>
      <name val="Arial"/>
    </font>
    <font>
      <b/>
      <sz val="10"/>
      <color theme="1"/>
      <name val="Arial"/>
    </font>
    <font>
      <u/>
      <sz val="10"/>
      <color rgb="FF000000"/>
      <name val="Arial"/>
    </font>
    <font>
      <i/>
      <sz val="10"/>
      <color theme="1"/>
      <name val="Arial"/>
    </font>
    <font>
      <i/>
      <sz val="10"/>
      <color rgb="FF000000"/>
      <name val="Arial"/>
    </font>
    <font>
      <b/>
      <i/>
      <sz val="10"/>
      <color rgb="FF000000"/>
      <name val="Arial"/>
    </font>
    <font>
      <b/>
      <i/>
      <sz val="10"/>
      <color rgb="FFFF0000"/>
      <name val="Arial"/>
    </font>
  </fonts>
  <fills count="25">
    <fill>
      <patternFill patternType="none"/>
    </fill>
    <fill>
      <patternFill patternType="gray125"/>
    </fill>
    <fill>
      <patternFill patternType="solid">
        <fgColor rgb="FF303030"/>
        <bgColor rgb="FF303030"/>
      </patternFill>
    </fill>
    <fill>
      <patternFill patternType="solid">
        <fgColor rgb="FF000000"/>
        <bgColor rgb="FF000000"/>
      </patternFill>
    </fill>
    <fill>
      <patternFill patternType="solid">
        <fgColor rgb="FFFFFFFF"/>
        <bgColor rgb="FFFFFFFF"/>
      </patternFill>
    </fill>
    <fill>
      <patternFill patternType="solid">
        <fgColor rgb="FFF3F3F3"/>
        <bgColor rgb="FFF3F3F3"/>
      </patternFill>
    </fill>
    <fill>
      <patternFill patternType="solid">
        <fgColor rgb="FF00FF00"/>
        <bgColor rgb="FF00FF00"/>
      </patternFill>
    </fill>
    <fill>
      <patternFill patternType="solid">
        <fgColor rgb="FF990000"/>
        <bgColor rgb="FF990000"/>
      </patternFill>
    </fill>
    <fill>
      <patternFill patternType="solid">
        <fgColor rgb="FF999999"/>
        <bgColor rgb="FF999999"/>
      </patternFill>
    </fill>
    <fill>
      <patternFill patternType="solid">
        <fgColor rgb="FF6AA84F"/>
        <bgColor rgb="FF6AA84F"/>
      </patternFill>
    </fill>
    <fill>
      <patternFill patternType="solid">
        <fgColor rgb="FF674EA7"/>
        <bgColor rgb="FF674EA7"/>
      </patternFill>
    </fill>
    <fill>
      <patternFill patternType="solid">
        <fgColor rgb="FFB45F06"/>
        <bgColor rgb="FFB45F06"/>
      </patternFill>
    </fill>
    <fill>
      <patternFill patternType="solid">
        <fgColor rgb="FF0000FF"/>
        <bgColor rgb="FF0000FF"/>
      </patternFill>
    </fill>
    <fill>
      <patternFill patternType="solid">
        <fgColor rgb="FFF4CCCC"/>
        <bgColor rgb="FFF4CCCC"/>
      </patternFill>
    </fill>
    <fill>
      <patternFill patternType="solid">
        <fgColor rgb="FFD9EAD3"/>
        <bgColor rgb="FFD9EAD3"/>
      </patternFill>
    </fill>
    <fill>
      <patternFill patternType="solid">
        <fgColor rgb="FFD9D2E9"/>
        <bgColor rgb="FFD9D2E9"/>
      </patternFill>
    </fill>
    <fill>
      <patternFill patternType="solid">
        <fgColor rgb="FFFCE5CD"/>
        <bgColor rgb="FFFCE5CD"/>
      </patternFill>
    </fill>
    <fill>
      <patternFill patternType="solid">
        <fgColor theme="1"/>
        <bgColor theme="1"/>
      </patternFill>
    </fill>
    <fill>
      <patternFill patternType="solid">
        <fgColor rgb="FFBF9000"/>
        <bgColor rgb="FFBF9000"/>
      </patternFill>
    </fill>
    <fill>
      <patternFill patternType="solid">
        <fgColor rgb="FF38761D"/>
        <bgColor rgb="FF38761D"/>
      </patternFill>
    </fill>
    <fill>
      <patternFill patternType="solid">
        <fgColor rgb="FFFFF2CC"/>
        <bgColor rgb="FFFFF2CC"/>
      </patternFill>
    </fill>
    <fill>
      <patternFill patternType="solid">
        <fgColor rgb="FFC9DAF8"/>
        <bgColor rgb="FFC9DAF8"/>
      </patternFill>
    </fill>
    <fill>
      <patternFill patternType="solid">
        <fgColor rgb="FFA4C2F4"/>
        <bgColor rgb="FFA4C2F4"/>
      </patternFill>
    </fill>
    <fill>
      <patternFill patternType="solid">
        <fgColor rgb="FFEA9999"/>
        <bgColor rgb="FFEA9999"/>
      </patternFill>
    </fill>
    <fill>
      <patternFill patternType="solid">
        <fgColor rgb="FF1155CC"/>
        <bgColor rgb="FF1155CC"/>
      </patternFill>
    </fill>
  </fills>
  <borders count="23">
    <border>
      <left/>
      <right/>
      <top/>
      <bottom/>
      <diagonal/>
    </border>
    <border>
      <left style="medium">
        <color rgb="FFFFFFFF"/>
      </left>
      <right style="medium">
        <color rgb="FFFFFFFF"/>
      </right>
      <top style="medium">
        <color rgb="FFFFFFFF"/>
      </top>
      <bottom style="medium">
        <color rgb="FFFFFFFF"/>
      </bottom>
      <diagonal/>
    </border>
    <border>
      <left style="thin">
        <color rgb="FF000000"/>
      </left>
      <right/>
      <top/>
      <bottom/>
      <diagonal/>
    </border>
    <border>
      <left/>
      <right style="medium">
        <color rgb="FF000000"/>
      </right>
      <top/>
      <bottom/>
      <diagonal/>
    </border>
    <border>
      <left style="medium">
        <color rgb="FF000000"/>
      </left>
      <right/>
      <top/>
      <bottom/>
      <diagonal/>
    </border>
    <border>
      <left/>
      <right style="thin">
        <color rgb="FF000000"/>
      </right>
      <top/>
      <bottom/>
      <diagonal/>
    </border>
    <border>
      <left/>
      <right style="medium">
        <color rgb="FF000000"/>
      </right>
      <top/>
      <bottom style="medium">
        <color rgb="FF000000"/>
      </bottom>
      <diagonal/>
    </border>
    <border>
      <left/>
      <right/>
      <top/>
      <bottom style="medium">
        <color rgb="FF000000"/>
      </bottom>
      <diagonal/>
    </border>
    <border>
      <left style="thin">
        <color rgb="FF000000"/>
      </left>
      <right/>
      <top/>
      <bottom style="medium">
        <color rgb="FF000000"/>
      </bottom>
      <diagonal/>
    </border>
    <border>
      <left style="medium">
        <color rgb="FF000000"/>
      </left>
      <right/>
      <top/>
      <bottom style="medium">
        <color rgb="FF000000"/>
      </bottom>
      <diagonal/>
    </border>
    <border>
      <left/>
      <right/>
      <top style="medium">
        <color rgb="FF000000"/>
      </top>
      <bottom/>
      <diagonal/>
    </border>
    <border>
      <left/>
      <right/>
      <top style="thick">
        <color rgb="FF000000"/>
      </top>
      <bottom style="thick">
        <color rgb="FF000000"/>
      </bottom>
      <diagonal/>
    </border>
    <border>
      <left/>
      <right style="medium">
        <color rgb="FF000000"/>
      </right>
      <top style="thick">
        <color rgb="FF000000"/>
      </top>
      <bottom style="thick">
        <color rgb="FF000000"/>
      </bottom>
      <diagonal/>
    </border>
    <border>
      <left style="medium">
        <color rgb="FF000000"/>
      </left>
      <right/>
      <top style="thick">
        <color rgb="FF000000"/>
      </top>
      <bottom style="thick">
        <color rgb="FF000000"/>
      </bottom>
      <diagonal/>
    </border>
    <border>
      <left/>
      <right/>
      <top style="thin">
        <color rgb="FF000000"/>
      </top>
      <bottom/>
      <diagonal/>
    </border>
    <border>
      <left/>
      <right style="medium">
        <color rgb="FF000000"/>
      </right>
      <top style="thin">
        <color rgb="FF000000"/>
      </top>
      <bottom/>
      <diagonal/>
    </border>
    <border>
      <left style="medium">
        <color rgb="FF000000"/>
      </left>
      <right/>
      <top style="thin">
        <color rgb="FF000000"/>
      </top>
      <bottom/>
      <diagonal/>
    </border>
    <border>
      <left/>
      <right/>
      <top/>
      <bottom style="thin">
        <color rgb="FF000000"/>
      </bottom>
      <diagonal/>
    </border>
    <border>
      <left/>
      <right style="medium">
        <color rgb="FF000000"/>
      </right>
      <top/>
      <bottom style="thin">
        <color rgb="FF000000"/>
      </bottom>
      <diagonal/>
    </border>
    <border>
      <left/>
      <right style="medium">
        <color rgb="FF000000"/>
      </right>
      <top style="medium">
        <color rgb="FF000000"/>
      </top>
      <bottom/>
      <diagonal/>
    </border>
    <border>
      <left style="thin">
        <color rgb="FFFFFFFF"/>
      </left>
      <right/>
      <top style="thin">
        <color rgb="FFFFFFFF"/>
      </top>
      <bottom style="thin">
        <color rgb="FFFFFFFF"/>
      </bottom>
      <diagonal/>
    </border>
    <border>
      <left/>
      <right style="thin">
        <color rgb="FFFFFFFF"/>
      </right>
      <top style="thin">
        <color rgb="FFFFFFFF"/>
      </top>
      <bottom style="thin">
        <color rgb="FFFFFFFF"/>
      </bottom>
      <diagonal/>
    </border>
    <border>
      <left/>
      <right/>
      <top style="thin">
        <color rgb="FFFFFFFF"/>
      </top>
      <bottom style="thin">
        <color rgb="FFFFFFFF"/>
      </bottom>
      <diagonal/>
    </border>
  </borders>
  <cellStyleXfs count="1">
    <xf numFmtId="0" fontId="0" fillId="0" borderId="0"/>
  </cellStyleXfs>
  <cellXfs count="203">
    <xf numFmtId="0" fontId="0" fillId="0" borderId="0" xfId="0"/>
    <xf numFmtId="0" fontId="1" fillId="2" borderId="0" xfId="0" applyFont="1" applyFill="1" applyAlignment="1">
      <alignment horizontal="center" vertical="center" wrapText="1"/>
    </xf>
    <xf numFmtId="0" fontId="2" fillId="2" borderId="1" xfId="0" applyFont="1" applyFill="1" applyBorder="1" applyAlignment="1">
      <alignment horizontal="center" vertical="center" wrapText="1"/>
    </xf>
    <xf numFmtId="0" fontId="3" fillId="3" borderId="0" xfId="0" applyFont="1" applyFill="1" applyAlignment="1">
      <alignment horizontal="center" vertical="center" wrapText="1"/>
    </xf>
    <xf numFmtId="0" fontId="4" fillId="4" borderId="0" xfId="0" applyFont="1" applyFill="1" applyAlignment="1">
      <alignment horizontal="right" vertical="center"/>
    </xf>
    <xf numFmtId="0" fontId="5" fillId="4" borderId="0" xfId="0" applyFont="1" applyFill="1" applyAlignment="1">
      <alignment vertical="center" wrapText="1"/>
    </xf>
    <xf numFmtId="0" fontId="4" fillId="5" borderId="0" xfId="0" applyFont="1" applyFill="1" applyAlignment="1">
      <alignment horizontal="right" vertical="center"/>
    </xf>
    <xf numFmtId="0" fontId="5" fillId="5" borderId="0" xfId="0" applyFont="1" applyFill="1" applyAlignment="1">
      <alignment vertical="center" wrapText="1"/>
    </xf>
    <xf numFmtId="0" fontId="10" fillId="5" borderId="0" xfId="0" applyFont="1" applyFill="1" applyAlignment="1">
      <alignment horizontal="right" vertical="center"/>
    </xf>
    <xf numFmtId="0" fontId="11" fillId="0" borderId="0" xfId="0" applyFont="1" applyAlignment="1">
      <alignment horizontal="center" vertical="center" wrapText="1"/>
    </xf>
    <xf numFmtId="0" fontId="5" fillId="0" borderId="0" xfId="0" applyFont="1" applyAlignment="1">
      <alignment horizontal="left" vertical="center" wrapText="1"/>
    </xf>
    <xf numFmtId="164" fontId="11" fillId="0" borderId="0" xfId="0" applyNumberFormat="1" applyFont="1" applyAlignment="1">
      <alignment horizontal="center" vertical="center" wrapText="1"/>
    </xf>
    <xf numFmtId="0" fontId="9" fillId="0" borderId="0" xfId="0" applyFont="1" applyAlignment="1">
      <alignment horizontal="left" vertical="center" wrapText="1"/>
    </xf>
    <xf numFmtId="0" fontId="12" fillId="0" borderId="0" xfId="0" applyFont="1" applyAlignment="1">
      <alignment horizontal="left" vertical="center" wrapText="1"/>
    </xf>
    <xf numFmtId="0" fontId="14" fillId="4" borderId="0" xfId="0" applyFont="1" applyFill="1" applyAlignment="1">
      <alignment horizontal="right" vertical="center" wrapText="1"/>
    </xf>
    <xf numFmtId="0" fontId="15" fillId="4" borderId="0" xfId="0" applyFont="1" applyFill="1" applyAlignment="1">
      <alignment horizontal="right" vertical="center" wrapText="1"/>
    </xf>
    <xf numFmtId="0" fontId="12" fillId="4" borderId="0" xfId="0" applyFont="1" applyFill="1" applyAlignment="1">
      <alignment vertical="center" wrapText="1"/>
    </xf>
    <xf numFmtId="0" fontId="14" fillId="5" borderId="0" xfId="0" applyFont="1" applyFill="1" applyAlignment="1">
      <alignment horizontal="right" vertical="center" wrapText="1"/>
    </xf>
    <xf numFmtId="0" fontId="15" fillId="5" borderId="0" xfId="0" applyFont="1" applyFill="1" applyAlignment="1">
      <alignment horizontal="right" vertical="center" wrapText="1"/>
    </xf>
    <xf numFmtId="0" fontId="16" fillId="5" borderId="0" xfId="0" applyFont="1" applyFill="1" applyAlignment="1">
      <alignment vertical="center" wrapText="1"/>
    </xf>
    <xf numFmtId="0" fontId="16" fillId="4" borderId="0" xfId="0" applyFont="1" applyFill="1" applyAlignment="1">
      <alignment vertical="center" wrapText="1"/>
    </xf>
    <xf numFmtId="0" fontId="12" fillId="5" borderId="0" xfId="0" applyFont="1" applyFill="1" applyAlignment="1">
      <alignment vertical="center" wrapText="1"/>
    </xf>
    <xf numFmtId="0" fontId="17" fillId="2" borderId="0" xfId="0" applyFont="1" applyFill="1" applyAlignment="1">
      <alignment horizontal="center" vertical="center" wrapText="1"/>
    </xf>
    <xf numFmtId="0" fontId="18" fillId="6" borderId="0" xfId="0" applyFont="1" applyFill="1" applyAlignment="1">
      <alignment horizontal="center" vertical="center" wrapText="1"/>
    </xf>
    <xf numFmtId="0" fontId="5" fillId="0" borderId="0" xfId="0" applyFont="1" applyAlignment="1">
      <alignment horizontal="center" vertical="center" wrapText="1"/>
    </xf>
    <xf numFmtId="0" fontId="19" fillId="0" borderId="0" xfId="0" applyFont="1" applyAlignment="1">
      <alignment horizontal="center" vertical="center" wrapText="1"/>
    </xf>
    <xf numFmtId="0" fontId="20" fillId="0" borderId="0" xfId="0" applyFont="1" applyAlignment="1">
      <alignment horizontal="center" vertical="center" wrapText="1"/>
    </xf>
    <xf numFmtId="0" fontId="5" fillId="0" borderId="0" xfId="0" applyFont="1" applyAlignment="1">
      <alignment horizontal="center" vertical="center"/>
    </xf>
    <xf numFmtId="0" fontId="1" fillId="2" borderId="0" xfId="0" applyFont="1" applyFill="1" applyAlignment="1">
      <alignment horizontal="center" vertical="center"/>
    </xf>
    <xf numFmtId="1" fontId="1" fillId="2" borderId="0" xfId="0" applyNumberFormat="1" applyFont="1" applyFill="1" applyAlignment="1">
      <alignment horizontal="center" vertical="center"/>
    </xf>
    <xf numFmtId="1" fontId="5" fillId="0" borderId="0" xfId="0" applyNumberFormat="1" applyFont="1" applyAlignment="1">
      <alignment horizontal="center" vertical="center"/>
    </xf>
    <xf numFmtId="165" fontId="5" fillId="0" borderId="0" xfId="0" applyNumberFormat="1" applyFont="1" applyAlignment="1">
      <alignment horizontal="center" vertical="center"/>
    </xf>
    <xf numFmtId="0" fontId="1" fillId="11" borderId="3" xfId="0" applyFont="1" applyFill="1" applyBorder="1" applyAlignment="1">
      <alignment horizontal="center" vertical="center" wrapText="1"/>
    </xf>
    <xf numFmtId="0" fontId="1" fillId="3" borderId="0" xfId="0" applyFont="1" applyFill="1" applyAlignment="1">
      <alignment horizontal="center" vertical="center" wrapText="1"/>
    </xf>
    <xf numFmtId="0" fontId="1" fillId="2" borderId="3" xfId="0" applyFont="1" applyFill="1" applyBorder="1" applyAlignment="1">
      <alignment horizontal="center" vertical="center"/>
    </xf>
    <xf numFmtId="1" fontId="1" fillId="2" borderId="3" xfId="0" applyNumberFormat="1" applyFont="1" applyFill="1" applyBorder="1" applyAlignment="1">
      <alignment horizontal="center" vertical="center"/>
    </xf>
    <xf numFmtId="0" fontId="16" fillId="13" borderId="0" xfId="0" applyFont="1" applyFill="1" applyAlignment="1">
      <alignment horizontal="center" vertical="center"/>
    </xf>
    <xf numFmtId="0" fontId="5" fillId="13" borderId="0" xfId="0" applyFont="1" applyFill="1" applyAlignment="1">
      <alignment horizontal="center" vertical="center"/>
    </xf>
    <xf numFmtId="0" fontId="1" fillId="3" borderId="3" xfId="0" applyFont="1" applyFill="1" applyBorder="1" applyAlignment="1">
      <alignment horizontal="center" vertical="center"/>
    </xf>
    <xf numFmtId="0" fontId="5" fillId="5" borderId="0" xfId="0" applyFont="1" applyFill="1" applyAlignment="1">
      <alignment horizontal="center" vertical="center"/>
    </xf>
    <xf numFmtId="166" fontId="5" fillId="5" borderId="0" xfId="0" applyNumberFormat="1" applyFont="1" applyFill="1" applyAlignment="1">
      <alignment horizontal="center" vertical="center"/>
    </xf>
    <xf numFmtId="165" fontId="5" fillId="5" borderId="0" xfId="0" applyNumberFormat="1" applyFont="1" applyFill="1" applyAlignment="1">
      <alignment horizontal="center" vertical="center"/>
    </xf>
    <xf numFmtId="1" fontId="5" fillId="5" borderId="3" xfId="0" applyNumberFormat="1" applyFont="1" applyFill="1" applyBorder="1" applyAlignment="1">
      <alignment horizontal="center" vertical="center"/>
    </xf>
    <xf numFmtId="0" fontId="5" fillId="14" borderId="0" xfId="0" applyFont="1" applyFill="1" applyAlignment="1">
      <alignment horizontal="center" vertical="center"/>
    </xf>
    <xf numFmtId="166" fontId="5" fillId="14" borderId="0" xfId="0" applyNumberFormat="1" applyFont="1" applyFill="1" applyAlignment="1">
      <alignment horizontal="center" vertical="center"/>
    </xf>
    <xf numFmtId="165" fontId="5" fillId="14" borderId="0" xfId="0" applyNumberFormat="1" applyFont="1" applyFill="1" applyAlignment="1">
      <alignment horizontal="center" vertical="center"/>
    </xf>
    <xf numFmtId="1" fontId="5" fillId="14" borderId="3" xfId="0" applyNumberFormat="1" applyFont="1" applyFill="1" applyBorder="1" applyAlignment="1">
      <alignment horizontal="center" vertical="center"/>
    </xf>
    <xf numFmtId="0" fontId="5" fillId="15" borderId="0" xfId="0" applyFont="1" applyFill="1" applyAlignment="1">
      <alignment horizontal="center" vertical="center"/>
    </xf>
    <xf numFmtId="166" fontId="5" fillId="15" borderId="0" xfId="0" applyNumberFormat="1" applyFont="1" applyFill="1" applyAlignment="1">
      <alignment horizontal="center" vertical="center"/>
    </xf>
    <xf numFmtId="165" fontId="5" fillId="15" borderId="0" xfId="0" applyNumberFormat="1" applyFont="1" applyFill="1" applyAlignment="1">
      <alignment horizontal="center" vertical="center"/>
    </xf>
    <xf numFmtId="1" fontId="5" fillId="15" borderId="3" xfId="0" applyNumberFormat="1" applyFont="1" applyFill="1" applyBorder="1" applyAlignment="1">
      <alignment horizontal="center" vertical="center"/>
    </xf>
    <xf numFmtId="166" fontId="5" fillId="16" borderId="3" xfId="0" applyNumberFormat="1" applyFont="1" applyFill="1" applyBorder="1" applyAlignment="1">
      <alignment horizontal="center" vertical="center"/>
    </xf>
    <xf numFmtId="166" fontId="5" fillId="0" borderId="0" xfId="0" applyNumberFormat="1" applyFont="1" applyAlignment="1">
      <alignment horizontal="center" vertical="center"/>
    </xf>
    <xf numFmtId="167" fontId="5" fillId="0" borderId="0" xfId="0" applyNumberFormat="1" applyFont="1" applyAlignment="1">
      <alignment horizontal="center" vertical="center"/>
    </xf>
    <xf numFmtId="166" fontId="9" fillId="0" borderId="0" xfId="0" applyNumberFormat="1" applyFont="1" applyAlignment="1">
      <alignment horizontal="center" vertical="center"/>
    </xf>
    <xf numFmtId="0" fontId="21" fillId="13" borderId="0" xfId="0" applyFont="1" applyFill="1" applyAlignment="1">
      <alignment horizontal="center" vertical="center"/>
    </xf>
    <xf numFmtId="0" fontId="5" fillId="3" borderId="3" xfId="0" applyFont="1" applyFill="1" applyBorder="1" applyAlignment="1">
      <alignment horizontal="center" vertical="center"/>
    </xf>
    <xf numFmtId="0" fontId="5" fillId="14" borderId="0" xfId="0" applyFont="1" applyFill="1" applyAlignment="1">
      <alignment horizontal="center" vertical="center" wrapText="1"/>
    </xf>
    <xf numFmtId="0" fontId="5" fillId="16" borderId="3" xfId="0" applyFont="1" applyFill="1" applyBorder="1" applyAlignment="1">
      <alignment horizontal="center" vertical="center"/>
    </xf>
    <xf numFmtId="0" fontId="5" fillId="0" borderId="3" xfId="0" applyFont="1" applyBorder="1" applyAlignment="1">
      <alignment horizontal="center" vertical="center"/>
    </xf>
    <xf numFmtId="49" fontId="5" fillId="0" borderId="0" xfId="0" applyNumberFormat="1" applyFont="1" applyAlignment="1">
      <alignment horizontal="center" vertical="center"/>
    </xf>
    <xf numFmtId="165" fontId="5" fillId="0" borderId="3" xfId="0" applyNumberFormat="1" applyFont="1" applyBorder="1" applyAlignment="1">
      <alignment horizontal="center" vertical="center"/>
    </xf>
    <xf numFmtId="166" fontId="5" fillId="0" borderId="3" xfId="0" applyNumberFormat="1" applyFont="1" applyBorder="1" applyAlignment="1">
      <alignment horizontal="center" vertical="center"/>
    </xf>
    <xf numFmtId="166" fontId="5" fillId="0" borderId="4" xfId="0" applyNumberFormat="1" applyFont="1" applyBorder="1" applyAlignment="1">
      <alignment horizontal="center" vertical="center"/>
    </xf>
    <xf numFmtId="165" fontId="1" fillId="2" borderId="0" xfId="0" applyNumberFormat="1" applyFont="1" applyFill="1" applyAlignment="1">
      <alignment horizontal="center" vertical="center"/>
    </xf>
    <xf numFmtId="1" fontId="1" fillId="3" borderId="0" xfId="0" applyNumberFormat="1" applyFont="1" applyFill="1" applyAlignment="1">
      <alignment horizontal="center" vertical="center"/>
    </xf>
    <xf numFmtId="165" fontId="19" fillId="0" borderId="0" xfId="0" applyNumberFormat="1" applyFont="1"/>
    <xf numFmtId="1" fontId="1" fillId="17" borderId="0" xfId="0" applyNumberFormat="1" applyFont="1" applyFill="1" applyAlignment="1">
      <alignment horizontal="center" vertical="center"/>
    </xf>
    <xf numFmtId="165" fontId="5" fillId="0" borderId="0" xfId="0" applyNumberFormat="1" applyFont="1" applyAlignment="1">
      <alignment horizontal="center" vertical="center" wrapText="1"/>
    </xf>
    <xf numFmtId="166" fontId="5" fillId="0" borderId="0" xfId="0" applyNumberFormat="1" applyFont="1" applyAlignment="1">
      <alignment horizontal="center" vertical="center" wrapText="1"/>
    </xf>
    <xf numFmtId="166" fontId="1" fillId="3" borderId="0" xfId="0" applyNumberFormat="1" applyFont="1" applyFill="1" applyAlignment="1">
      <alignment horizontal="center" vertical="center" wrapText="1"/>
    </xf>
    <xf numFmtId="166" fontId="9" fillId="0" borderId="0" xfId="0" applyNumberFormat="1" applyFont="1" applyAlignment="1">
      <alignment horizontal="center" vertical="center" wrapText="1"/>
    </xf>
    <xf numFmtId="166" fontId="22" fillId="3" borderId="0" xfId="0" applyNumberFormat="1" applyFont="1" applyFill="1" applyAlignment="1">
      <alignment horizontal="center" vertical="center" wrapText="1"/>
    </xf>
    <xf numFmtId="0" fontId="1" fillId="3" borderId="0" xfId="0" applyFont="1" applyFill="1" applyAlignment="1">
      <alignment horizontal="center" vertical="center"/>
    </xf>
    <xf numFmtId="0" fontId="1" fillId="2" borderId="4" xfId="0" applyFont="1" applyFill="1" applyBorder="1" applyAlignment="1">
      <alignment horizontal="center" vertical="center"/>
    </xf>
    <xf numFmtId="165" fontId="5" fillId="0" borderId="4" xfId="0" applyNumberFormat="1" applyFont="1" applyBorder="1" applyAlignment="1">
      <alignment horizontal="center" vertical="center"/>
    </xf>
    <xf numFmtId="0" fontId="19" fillId="0" borderId="0" xfId="0" applyFont="1" applyAlignment="1">
      <alignment horizontal="center"/>
    </xf>
    <xf numFmtId="0" fontId="22" fillId="2" borderId="0" xfId="0" applyFont="1" applyFill="1" applyAlignment="1">
      <alignment horizontal="center" vertical="center"/>
    </xf>
    <xf numFmtId="0" fontId="1" fillId="2" borderId="5" xfId="0" applyFont="1" applyFill="1" applyBorder="1" applyAlignment="1">
      <alignment horizontal="center" vertical="center" wrapText="1"/>
    </xf>
    <xf numFmtId="0" fontId="1" fillId="2" borderId="2" xfId="0" applyFont="1" applyFill="1" applyBorder="1" applyAlignment="1">
      <alignment horizontal="center" vertical="center" wrapText="1"/>
    </xf>
    <xf numFmtId="166" fontId="1" fillId="2" borderId="0" xfId="0" applyNumberFormat="1" applyFont="1" applyFill="1" applyAlignment="1">
      <alignment horizontal="center" vertical="center" wrapText="1"/>
    </xf>
    <xf numFmtId="2" fontId="5" fillId="0" borderId="0" xfId="0" applyNumberFormat="1" applyFont="1" applyAlignment="1">
      <alignment horizontal="center" vertical="center" wrapText="1"/>
    </xf>
    <xf numFmtId="1" fontId="5" fillId="0" borderId="0" xfId="0" applyNumberFormat="1" applyFont="1" applyAlignment="1">
      <alignment horizontal="center" vertical="center" wrapText="1"/>
    </xf>
    <xf numFmtId="166" fontId="5" fillId="0" borderId="5" xfId="0" applyNumberFormat="1" applyFont="1" applyBorder="1" applyAlignment="1">
      <alignment horizontal="center" vertical="center" wrapText="1"/>
    </xf>
    <xf numFmtId="0" fontId="5" fillId="0" borderId="2" xfId="0" applyFont="1" applyBorder="1" applyAlignment="1">
      <alignment horizontal="center" vertical="center" wrapText="1"/>
    </xf>
    <xf numFmtId="0" fontId="5" fillId="0" borderId="5" xfId="0" applyFont="1" applyBorder="1" applyAlignment="1">
      <alignment horizontal="center" vertical="center" wrapText="1"/>
    </xf>
    <xf numFmtId="0" fontId="5" fillId="20" borderId="0" xfId="0" applyFont="1" applyFill="1" applyAlignment="1">
      <alignment horizontal="center" vertical="center"/>
    </xf>
    <xf numFmtId="0" fontId="5" fillId="21" borderId="0" xfId="0" applyFont="1" applyFill="1" applyAlignment="1">
      <alignment horizontal="center" vertical="center"/>
    </xf>
    <xf numFmtId="0" fontId="23" fillId="0" borderId="0" xfId="0" applyFont="1" applyAlignment="1">
      <alignment horizontal="center" vertical="center" wrapText="1"/>
    </xf>
    <xf numFmtId="1" fontId="9" fillId="4" borderId="7" xfId="0" applyNumberFormat="1" applyFont="1" applyFill="1" applyBorder="1" applyAlignment="1">
      <alignment horizontal="center" vertical="center"/>
    </xf>
    <xf numFmtId="1" fontId="9" fillId="4" borderId="7" xfId="0" applyNumberFormat="1" applyFont="1" applyFill="1" applyBorder="1" applyAlignment="1">
      <alignment horizontal="center" vertical="center" wrapText="1"/>
    </xf>
    <xf numFmtId="1" fontId="5" fillId="0" borderId="3" xfId="0" applyNumberFormat="1" applyFont="1" applyBorder="1" applyAlignment="1">
      <alignment horizontal="center" vertical="center" wrapText="1"/>
    </xf>
    <xf numFmtId="1" fontId="5" fillId="5" borderId="0" xfId="0" applyNumberFormat="1" applyFont="1" applyFill="1" applyAlignment="1">
      <alignment horizontal="center" vertical="center"/>
    </xf>
    <xf numFmtId="1" fontId="5" fillId="0" borderId="2" xfId="0" applyNumberFormat="1" applyFont="1" applyBorder="1" applyAlignment="1">
      <alignment horizontal="center" vertical="center"/>
    </xf>
    <xf numFmtId="165" fontId="1" fillId="3" borderId="0" xfId="0" applyNumberFormat="1" applyFont="1" applyFill="1" applyAlignment="1">
      <alignment horizontal="center" vertical="center"/>
    </xf>
    <xf numFmtId="165" fontId="1" fillId="3" borderId="4" xfId="0" applyNumberFormat="1" applyFont="1" applyFill="1" applyBorder="1" applyAlignment="1">
      <alignment horizontal="center" vertical="center" wrapText="1"/>
    </xf>
    <xf numFmtId="165" fontId="5" fillId="0" borderId="4" xfId="0" applyNumberFormat="1" applyFont="1" applyBorder="1" applyAlignment="1">
      <alignment horizontal="center" vertical="center" wrapText="1"/>
    </xf>
    <xf numFmtId="1" fontId="1" fillId="2" borderId="0" xfId="0" applyNumberFormat="1" applyFont="1" applyFill="1" applyAlignment="1">
      <alignment horizontal="center" vertical="center" wrapText="1"/>
    </xf>
    <xf numFmtId="1" fontId="1" fillId="2" borderId="3" xfId="0" applyNumberFormat="1" applyFont="1" applyFill="1" applyBorder="1" applyAlignment="1">
      <alignment horizontal="center" vertical="center" wrapText="1"/>
    </xf>
    <xf numFmtId="166" fontId="1" fillId="2" borderId="0" xfId="0" applyNumberFormat="1" applyFont="1" applyFill="1" applyAlignment="1">
      <alignment horizontal="center" vertical="center"/>
    </xf>
    <xf numFmtId="166" fontId="1" fillId="3" borderId="0" xfId="0" applyNumberFormat="1" applyFont="1" applyFill="1" applyAlignment="1">
      <alignment horizontal="center" vertical="center"/>
    </xf>
    <xf numFmtId="165" fontId="9" fillId="0" borderId="0" xfId="0" applyNumberFormat="1" applyFont="1" applyAlignment="1">
      <alignment horizontal="center" vertical="center"/>
    </xf>
    <xf numFmtId="2" fontId="5" fillId="0" borderId="3" xfId="0" applyNumberFormat="1" applyFont="1" applyBorder="1" applyAlignment="1">
      <alignment horizontal="center" vertical="center"/>
    </xf>
    <xf numFmtId="1" fontId="24" fillId="0" borderId="11" xfId="0" applyNumberFormat="1" applyFont="1" applyBorder="1" applyAlignment="1">
      <alignment horizontal="center" vertical="center" wrapText="1"/>
    </xf>
    <xf numFmtId="0" fontId="24" fillId="0" borderId="11" xfId="0" applyFont="1" applyBorder="1" applyAlignment="1">
      <alignment horizontal="center" vertical="center" wrapText="1"/>
    </xf>
    <xf numFmtId="1" fontId="24" fillId="0" borderId="12" xfId="0" applyNumberFormat="1" applyFont="1" applyBorder="1" applyAlignment="1">
      <alignment horizontal="center" vertical="center" wrapText="1"/>
    </xf>
    <xf numFmtId="166" fontId="24" fillId="0" borderId="11" xfId="0" applyNumberFormat="1" applyFont="1" applyBorder="1" applyAlignment="1">
      <alignment horizontal="center" vertical="center"/>
    </xf>
    <xf numFmtId="166" fontId="24" fillId="5" borderId="11" xfId="0" applyNumberFormat="1" applyFont="1" applyFill="1" applyBorder="1" applyAlignment="1">
      <alignment horizontal="center" vertical="center"/>
    </xf>
    <xf numFmtId="165" fontId="24" fillId="5" borderId="11" xfId="0" applyNumberFormat="1" applyFont="1" applyFill="1" applyBorder="1" applyAlignment="1">
      <alignment horizontal="center" vertical="center"/>
    </xf>
    <xf numFmtId="165" fontId="24" fillId="0" borderId="11" xfId="0" applyNumberFormat="1" applyFont="1" applyBorder="1" applyAlignment="1">
      <alignment horizontal="center" vertical="center"/>
    </xf>
    <xf numFmtId="165" fontId="24" fillId="0" borderId="12" xfId="0" applyNumberFormat="1" applyFont="1" applyBorder="1" applyAlignment="1">
      <alignment horizontal="center" vertical="center"/>
    </xf>
    <xf numFmtId="2" fontId="24" fillId="0" borderId="12" xfId="0" applyNumberFormat="1" applyFont="1" applyBorder="1" applyAlignment="1">
      <alignment horizontal="center" vertical="center"/>
    </xf>
    <xf numFmtId="165" fontId="25" fillId="3" borderId="13" xfId="0" applyNumberFormat="1" applyFont="1" applyFill="1" applyBorder="1" applyAlignment="1">
      <alignment horizontal="center" vertical="center" wrapText="1"/>
    </xf>
    <xf numFmtId="1" fontId="5" fillId="0" borderId="14" xfId="0" applyNumberFormat="1" applyFont="1" applyBorder="1" applyAlignment="1">
      <alignment horizontal="center" vertical="center" wrapText="1"/>
    </xf>
    <xf numFmtId="0" fontId="5" fillId="0" borderId="14" xfId="0" applyFont="1" applyBorder="1" applyAlignment="1">
      <alignment horizontal="center" vertical="center" wrapText="1"/>
    </xf>
    <xf numFmtId="1" fontId="5" fillId="0" borderId="15" xfId="0" applyNumberFormat="1" applyFont="1" applyBorder="1" applyAlignment="1">
      <alignment horizontal="center" vertical="center" wrapText="1"/>
    </xf>
    <xf numFmtId="166" fontId="5" fillId="0" borderId="14" xfId="0" applyNumberFormat="1" applyFont="1" applyBorder="1" applyAlignment="1">
      <alignment horizontal="center" vertical="center"/>
    </xf>
    <xf numFmtId="166" fontId="5" fillId="5" borderId="14" xfId="0" applyNumberFormat="1" applyFont="1" applyFill="1" applyBorder="1" applyAlignment="1">
      <alignment horizontal="center" vertical="center"/>
    </xf>
    <xf numFmtId="165" fontId="5" fillId="5" borderId="14" xfId="0" applyNumberFormat="1" applyFont="1" applyFill="1" applyBorder="1" applyAlignment="1">
      <alignment horizontal="center" vertical="center"/>
    </xf>
    <xf numFmtId="165" fontId="5" fillId="0" borderId="14" xfId="0" applyNumberFormat="1" applyFont="1" applyBorder="1" applyAlignment="1">
      <alignment horizontal="center" vertical="center"/>
    </xf>
    <xf numFmtId="165" fontId="5" fillId="0" borderId="15" xfId="0" applyNumberFormat="1" applyFont="1" applyBorder="1" applyAlignment="1">
      <alignment horizontal="center" vertical="center"/>
    </xf>
    <xf numFmtId="165" fontId="9" fillId="0" borderId="14" xfId="0" applyNumberFormat="1" applyFont="1" applyBorder="1" applyAlignment="1">
      <alignment horizontal="center" vertical="center"/>
    </xf>
    <xf numFmtId="2" fontId="5" fillId="0" borderId="15" xfId="0" applyNumberFormat="1" applyFont="1" applyBorder="1" applyAlignment="1">
      <alignment horizontal="center" vertical="center"/>
    </xf>
    <xf numFmtId="165" fontId="5" fillId="0" borderId="16" xfId="0" applyNumberFormat="1" applyFont="1" applyBorder="1" applyAlignment="1">
      <alignment horizontal="center" vertical="center" wrapText="1"/>
    </xf>
    <xf numFmtId="2" fontId="5" fillId="0" borderId="0" xfId="0" applyNumberFormat="1" applyFont="1" applyAlignment="1">
      <alignment horizontal="center" vertical="center"/>
    </xf>
    <xf numFmtId="1" fontId="5" fillId="0" borderId="17" xfId="0" applyNumberFormat="1" applyFont="1" applyBorder="1" applyAlignment="1">
      <alignment horizontal="center" vertical="center" wrapText="1"/>
    </xf>
    <xf numFmtId="0" fontId="5" fillId="0" borderId="17" xfId="0" applyFont="1" applyBorder="1" applyAlignment="1">
      <alignment horizontal="center" vertical="center"/>
    </xf>
    <xf numFmtId="1" fontId="5" fillId="0" borderId="18" xfId="0" applyNumberFormat="1" applyFont="1" applyBorder="1" applyAlignment="1">
      <alignment horizontal="center" vertical="center" wrapText="1"/>
    </xf>
    <xf numFmtId="166" fontId="5" fillId="0" borderId="17" xfId="0" applyNumberFormat="1" applyFont="1" applyBorder="1" applyAlignment="1">
      <alignment horizontal="center" vertical="center"/>
    </xf>
    <xf numFmtId="166" fontId="5" fillId="5" borderId="17" xfId="0" applyNumberFormat="1" applyFont="1" applyFill="1" applyBorder="1" applyAlignment="1">
      <alignment horizontal="center" vertical="center"/>
    </xf>
    <xf numFmtId="165" fontId="5" fillId="5" borderId="17" xfId="0" applyNumberFormat="1" applyFont="1" applyFill="1" applyBorder="1" applyAlignment="1">
      <alignment horizontal="center" vertical="center"/>
    </xf>
    <xf numFmtId="165" fontId="5" fillId="0" borderId="17" xfId="0" applyNumberFormat="1" applyFont="1" applyBorder="1" applyAlignment="1">
      <alignment horizontal="center" vertical="center"/>
    </xf>
    <xf numFmtId="165" fontId="5" fillId="0" borderId="18" xfId="0" applyNumberFormat="1" applyFont="1" applyBorder="1" applyAlignment="1">
      <alignment horizontal="center" vertical="center"/>
    </xf>
    <xf numFmtId="165" fontId="9" fillId="0" borderId="17" xfId="0" applyNumberFormat="1" applyFont="1" applyBorder="1" applyAlignment="1">
      <alignment horizontal="center" vertical="center"/>
    </xf>
    <xf numFmtId="2" fontId="5" fillId="0" borderId="18" xfId="0" applyNumberFormat="1" applyFont="1" applyBorder="1" applyAlignment="1">
      <alignment horizontal="center" vertical="center"/>
    </xf>
    <xf numFmtId="165" fontId="1" fillId="3" borderId="17" xfId="0" applyNumberFormat="1" applyFont="1" applyFill="1" applyBorder="1" applyAlignment="1">
      <alignment horizontal="center" vertical="center" wrapText="1"/>
    </xf>
    <xf numFmtId="0" fontId="26" fillId="0" borderId="0" xfId="0" applyFont="1" applyAlignment="1">
      <alignment horizontal="center" vertical="center" wrapText="1"/>
    </xf>
    <xf numFmtId="0" fontId="5" fillId="0" borderId="0" xfId="0" applyFont="1" applyAlignment="1">
      <alignment horizontal="center"/>
    </xf>
    <xf numFmtId="0" fontId="15" fillId="0" borderId="0" xfId="0" applyFont="1" applyAlignment="1">
      <alignment horizontal="center"/>
    </xf>
    <xf numFmtId="1" fontId="15" fillId="0" borderId="0" xfId="0" applyNumberFormat="1" applyFont="1" applyAlignment="1">
      <alignment horizontal="center" vertical="center"/>
    </xf>
    <xf numFmtId="0" fontId="5" fillId="5" borderId="0" xfId="0" applyFont="1" applyFill="1" applyAlignment="1">
      <alignment horizontal="center"/>
    </xf>
    <xf numFmtId="4" fontId="5" fillId="0" borderId="0" xfId="0" applyNumberFormat="1" applyFont="1" applyAlignment="1">
      <alignment horizontal="center"/>
    </xf>
    <xf numFmtId="1" fontId="5" fillId="0" borderId="0" xfId="0" applyNumberFormat="1" applyFont="1" applyAlignment="1">
      <alignment horizontal="center"/>
    </xf>
    <xf numFmtId="0" fontId="9" fillId="0" borderId="0" xfId="0" applyFont="1" applyAlignment="1">
      <alignment horizontal="center"/>
    </xf>
    <xf numFmtId="166" fontId="1" fillId="2" borderId="3" xfId="0" applyNumberFormat="1" applyFont="1" applyFill="1" applyBorder="1" applyAlignment="1">
      <alignment horizontal="center" vertical="center"/>
    </xf>
    <xf numFmtId="1" fontId="9" fillId="0" borderId="0" xfId="0" applyNumberFormat="1" applyFont="1" applyAlignment="1">
      <alignment horizontal="center" vertical="center"/>
    </xf>
    <xf numFmtId="166" fontId="1" fillId="3" borderId="3" xfId="0" applyNumberFormat="1" applyFont="1" applyFill="1" applyBorder="1" applyAlignment="1">
      <alignment horizontal="center" vertical="center"/>
    </xf>
    <xf numFmtId="1" fontId="27" fillId="0" borderId="0" xfId="0" applyNumberFormat="1" applyFont="1" applyAlignment="1">
      <alignment horizontal="center" vertical="center"/>
    </xf>
    <xf numFmtId="1" fontId="28" fillId="0" borderId="0" xfId="0" applyNumberFormat="1" applyFont="1" applyAlignment="1">
      <alignment horizontal="center" vertical="center"/>
    </xf>
    <xf numFmtId="1" fontId="28" fillId="0" borderId="3" xfId="0" applyNumberFormat="1" applyFont="1" applyBorder="1" applyAlignment="1">
      <alignment horizontal="center" vertical="center"/>
    </xf>
    <xf numFmtId="1" fontId="12" fillId="0" borderId="0" xfId="0" applyNumberFormat="1" applyFont="1" applyAlignment="1">
      <alignment horizontal="center" vertical="center"/>
    </xf>
    <xf numFmtId="165" fontId="12" fillId="0" borderId="3" xfId="0" applyNumberFormat="1" applyFont="1" applyBorder="1" applyAlignment="1">
      <alignment horizontal="center" vertical="center"/>
    </xf>
    <xf numFmtId="1" fontId="5" fillId="0" borderId="3" xfId="0" applyNumberFormat="1" applyFont="1" applyBorder="1" applyAlignment="1">
      <alignment horizontal="center" vertical="center"/>
    </xf>
    <xf numFmtId="0" fontId="9" fillId="0" borderId="0" xfId="0" applyFont="1" applyAlignment="1">
      <alignment horizontal="center" vertical="center"/>
    </xf>
    <xf numFmtId="0" fontId="5" fillId="0" borderId="0" xfId="0" applyFont="1"/>
    <xf numFmtId="0" fontId="9" fillId="0" borderId="0" xfId="0" applyFont="1" applyAlignment="1">
      <alignment horizontal="center" vertical="center" wrapText="1"/>
    </xf>
    <xf numFmtId="3" fontId="5" fillId="0" borderId="0" xfId="0" applyNumberFormat="1" applyFont="1" applyAlignment="1">
      <alignment horizontal="center" vertical="center" wrapText="1"/>
    </xf>
    <xf numFmtId="0" fontId="1" fillId="2" borderId="0" xfId="0" applyFont="1" applyFill="1" applyAlignment="1">
      <alignment horizontal="center" vertical="center" wrapText="1"/>
    </xf>
    <xf numFmtId="0" fontId="0" fillId="0" borderId="0" xfId="0"/>
    <xf numFmtId="0" fontId="6" fillId="2" borderId="2" xfId="0" applyFont="1" applyFill="1" applyBorder="1" applyAlignment="1">
      <alignment vertical="center" wrapText="1"/>
    </xf>
    <xf numFmtId="0" fontId="8" fillId="0" borderId="2" xfId="0" applyFont="1" applyBorder="1"/>
    <xf numFmtId="0" fontId="7" fillId="4" borderId="0" xfId="0" applyFont="1" applyFill="1" applyAlignment="1">
      <alignment horizontal="center" vertical="center" wrapText="1"/>
    </xf>
    <xf numFmtId="0" fontId="9" fillId="2" borderId="2" xfId="0" applyFont="1" applyFill="1" applyBorder="1" applyAlignment="1">
      <alignment vertical="center" wrapText="1"/>
    </xf>
    <xf numFmtId="0" fontId="13" fillId="2" borderId="0" xfId="0" applyFont="1" applyFill="1" applyAlignment="1">
      <alignment horizontal="center" vertical="center" wrapText="1"/>
    </xf>
    <xf numFmtId="0" fontId="1" fillId="3" borderId="0" xfId="0" applyFont="1" applyFill="1" applyAlignment="1">
      <alignment horizontal="center" vertical="center" wrapText="1"/>
    </xf>
    <xf numFmtId="0" fontId="1" fillId="7" borderId="0" xfId="0" applyFont="1" applyFill="1" applyAlignment="1">
      <alignment horizontal="center" vertical="center" wrapText="1"/>
    </xf>
    <xf numFmtId="0" fontId="8" fillId="0" borderId="3" xfId="0" applyFont="1" applyBorder="1"/>
    <xf numFmtId="0" fontId="1" fillId="8" borderId="0" xfId="0" applyFont="1" applyFill="1" applyAlignment="1">
      <alignment horizontal="center" vertical="center" wrapText="1"/>
    </xf>
    <xf numFmtId="0" fontId="1" fillId="9" borderId="0" xfId="0" applyFont="1" applyFill="1" applyAlignment="1">
      <alignment horizontal="center" vertical="center" wrapText="1"/>
    </xf>
    <xf numFmtId="0" fontId="1" fillId="10" borderId="0" xfId="0" applyFont="1" applyFill="1" applyAlignment="1">
      <alignment horizontal="center" vertical="center" wrapText="1"/>
    </xf>
    <xf numFmtId="0" fontId="1" fillId="12" borderId="0" xfId="0" applyFont="1" applyFill="1" applyAlignment="1">
      <alignment horizontal="center" vertical="center" wrapText="1"/>
    </xf>
    <xf numFmtId="165" fontId="5" fillId="0" borderId="0" xfId="0" applyNumberFormat="1" applyFont="1" applyAlignment="1">
      <alignment horizontal="center" vertical="center" wrapText="1"/>
    </xf>
    <xf numFmtId="0" fontId="5" fillId="0" borderId="0" xfId="0" applyFont="1" applyAlignment="1">
      <alignment horizontal="center" vertical="center" wrapText="1"/>
    </xf>
    <xf numFmtId="166" fontId="1" fillId="11" borderId="0" xfId="0" applyNumberFormat="1" applyFont="1" applyFill="1" applyAlignment="1">
      <alignment horizontal="center" vertical="center" wrapText="1"/>
    </xf>
    <xf numFmtId="0" fontId="1" fillId="18" borderId="2" xfId="0" applyFont="1" applyFill="1" applyBorder="1" applyAlignment="1">
      <alignment horizontal="center" vertical="center" wrapText="1"/>
    </xf>
    <xf numFmtId="0" fontId="1" fillId="19" borderId="0" xfId="0" applyFont="1" applyFill="1" applyAlignment="1">
      <alignment horizontal="center" vertical="center"/>
    </xf>
    <xf numFmtId="1" fontId="9" fillId="4" borderId="4" xfId="0" applyNumberFormat="1" applyFont="1" applyFill="1" applyBorder="1" applyAlignment="1">
      <alignment horizontal="center" vertical="center"/>
    </xf>
    <xf numFmtId="0" fontId="8" fillId="0" borderId="9" xfId="0" applyFont="1" applyBorder="1"/>
    <xf numFmtId="0" fontId="9" fillId="4" borderId="7" xfId="0" applyFont="1" applyFill="1" applyBorder="1" applyAlignment="1">
      <alignment horizontal="center" vertical="center"/>
    </xf>
    <xf numFmtId="0" fontId="8" fillId="0" borderId="7" xfId="0" applyFont="1" applyBorder="1"/>
    <xf numFmtId="1" fontId="5" fillId="0" borderId="10" xfId="0" applyNumberFormat="1" applyFont="1" applyBorder="1" applyAlignment="1">
      <alignment horizontal="center" vertical="center" wrapText="1"/>
    </xf>
    <xf numFmtId="0" fontId="8" fillId="0" borderId="10" xfId="0" applyFont="1" applyBorder="1"/>
    <xf numFmtId="1" fontId="9" fillId="4" borderId="7" xfId="0" applyNumberFormat="1" applyFont="1" applyFill="1" applyBorder="1" applyAlignment="1">
      <alignment horizontal="center" vertical="center"/>
    </xf>
    <xf numFmtId="1" fontId="9" fillId="4" borderId="8" xfId="0" applyNumberFormat="1" applyFont="1" applyFill="1" applyBorder="1" applyAlignment="1">
      <alignment horizontal="center" vertical="center" wrapText="1"/>
    </xf>
    <xf numFmtId="1" fontId="9" fillId="4" borderId="3" xfId="0" applyNumberFormat="1" applyFont="1" applyFill="1" applyBorder="1" applyAlignment="1">
      <alignment horizontal="center" vertical="center" wrapText="1"/>
    </xf>
    <xf numFmtId="0" fontId="8" fillId="0" borderId="6" xfId="0" applyFont="1" applyBorder="1"/>
    <xf numFmtId="1" fontId="9" fillId="22" borderId="0" xfId="0" applyNumberFormat="1" applyFont="1" applyFill="1" applyAlignment="1">
      <alignment horizontal="center" vertical="center"/>
    </xf>
    <xf numFmtId="1" fontId="9" fillId="23" borderId="2" xfId="0" applyNumberFormat="1" applyFont="1" applyFill="1" applyBorder="1" applyAlignment="1">
      <alignment horizontal="center" vertical="center" wrapText="1"/>
    </xf>
    <xf numFmtId="166" fontId="1" fillId="2" borderId="0" xfId="0" applyNumberFormat="1" applyFont="1" applyFill="1" applyAlignment="1">
      <alignment horizontal="center" vertical="center"/>
    </xf>
    <xf numFmtId="1" fontId="1" fillId="19" borderId="7" xfId="0" applyNumberFormat="1" applyFont="1" applyFill="1" applyBorder="1" applyAlignment="1">
      <alignment horizontal="center" vertical="center" wrapText="1"/>
    </xf>
    <xf numFmtId="166" fontId="1" fillId="24" borderId="7" xfId="0" applyNumberFormat="1" applyFont="1" applyFill="1" applyBorder="1" applyAlignment="1">
      <alignment horizontal="center" vertical="center"/>
    </xf>
    <xf numFmtId="166" fontId="1" fillId="7" borderId="7" xfId="0" applyNumberFormat="1" applyFont="1" applyFill="1" applyBorder="1" applyAlignment="1">
      <alignment horizontal="center" vertical="center" wrapText="1"/>
    </xf>
    <xf numFmtId="1" fontId="1" fillId="2" borderId="0" xfId="0" applyNumberFormat="1" applyFont="1" applyFill="1" applyAlignment="1">
      <alignment horizontal="center" vertical="center"/>
    </xf>
    <xf numFmtId="0" fontId="9" fillId="16" borderId="0" xfId="0" applyFont="1" applyFill="1" applyAlignment="1">
      <alignment horizontal="center"/>
    </xf>
    <xf numFmtId="0" fontId="9" fillId="14" borderId="0" xfId="0" applyFont="1" applyFill="1" applyAlignment="1">
      <alignment horizontal="center"/>
    </xf>
    <xf numFmtId="0" fontId="5" fillId="0" borderId="0" xfId="0" applyFont="1" applyAlignment="1">
      <alignment horizontal="center"/>
    </xf>
    <xf numFmtId="0" fontId="1" fillId="2" borderId="0" xfId="0" applyFont="1" applyFill="1" applyAlignment="1">
      <alignment horizontal="center" vertical="center"/>
    </xf>
    <xf numFmtId="1" fontId="5" fillId="0" borderId="0" xfId="0" applyNumberFormat="1" applyFont="1" applyAlignment="1">
      <alignment horizontal="center" vertical="center"/>
    </xf>
    <xf numFmtId="0" fontId="15" fillId="0" borderId="10" xfId="0" applyFont="1" applyBorder="1" applyAlignment="1">
      <alignment horizontal="center" vertical="center"/>
    </xf>
    <xf numFmtId="0" fontId="8" fillId="0" borderId="19" xfId="0" applyFont="1" applyBorder="1"/>
    <xf numFmtId="0" fontId="1" fillId="3" borderId="20" xfId="0" applyFont="1" applyFill="1" applyBorder="1" applyAlignment="1">
      <alignment horizontal="center" vertical="center"/>
    </xf>
    <xf numFmtId="0" fontId="8" fillId="0" borderId="21" xfId="0" applyFont="1" applyBorder="1"/>
    <xf numFmtId="0" fontId="8" fillId="0" borderId="22" xfId="0" applyFont="1" applyBorder="1"/>
  </cellXfs>
  <cellStyles count="1">
    <cellStyle name="Normal" xfId="0" builtinId="0"/>
  </cellStyles>
  <dxfs count="37">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E67C73"/>
          <bgColor rgb="FFE67C73"/>
        </patternFill>
      </fill>
    </dxf>
    <dxf>
      <fill>
        <patternFill patternType="solid">
          <fgColor rgb="FF57BB8A"/>
          <bgColor rgb="FF57BB8A"/>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ont>
        <color rgb="FF000000"/>
      </font>
      <fill>
        <patternFill patternType="solid">
          <fgColor rgb="FFD9D9D9"/>
          <bgColor rgb="FFD9D9D9"/>
        </patternFill>
      </fill>
    </dxf>
    <dxf>
      <font>
        <b/>
      </font>
      <fill>
        <patternFill patternType="solid">
          <fgColor rgb="FFE67C73"/>
          <bgColor rgb="FFE67C73"/>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FF0000"/>
          <bgColor rgb="FFFF0000"/>
        </patternFill>
      </fill>
    </dxf>
    <dxf>
      <fill>
        <patternFill patternType="solid">
          <fgColor rgb="FFE67C73"/>
          <bgColor rgb="FFE67C73"/>
        </patternFill>
      </fill>
    </dxf>
    <dxf>
      <fill>
        <patternFill patternType="solid">
          <fgColor rgb="FFB7E1CD"/>
          <bgColor rgb="FFB7E1CD"/>
        </patternFill>
      </fill>
    </dxf>
    <dxf>
      <fill>
        <patternFill patternType="solid">
          <fgColor rgb="FFFF0000"/>
          <bgColor rgb="FFFF0000"/>
        </patternFill>
      </fill>
    </dxf>
    <dxf>
      <fill>
        <patternFill patternType="solid">
          <fgColor rgb="FFE67C73"/>
          <bgColor rgb="FFE67C73"/>
        </patternFill>
      </fill>
    </dxf>
    <dxf>
      <fill>
        <patternFill patternType="solid">
          <fgColor rgb="FFB7E1CD"/>
          <bgColor rgb="FFB7E1CD"/>
        </patternFill>
      </fill>
    </dxf>
    <dxf>
      <fill>
        <patternFill patternType="solid">
          <fgColor rgb="FFFF0000"/>
          <bgColor rgb="FFFF0000"/>
        </patternFill>
      </fill>
    </dxf>
    <dxf>
      <fill>
        <patternFill patternType="solid">
          <fgColor rgb="FFF4CCCC"/>
          <bgColor rgb="FFF4CCCC"/>
        </patternFill>
      </fill>
    </dxf>
    <dxf>
      <fill>
        <patternFill patternType="solid">
          <fgColor rgb="FFF3F3F3"/>
          <bgColor rgb="FFF3F3F3"/>
        </patternFill>
      </fill>
    </dxf>
    <dxf>
      <fill>
        <patternFill patternType="solid">
          <fgColor rgb="FFFF0000"/>
          <bgColor rgb="FFFF0000"/>
        </patternFill>
      </fill>
    </dxf>
    <dxf>
      <fill>
        <patternFill patternType="solid">
          <fgColor rgb="FFFFFF00"/>
          <bgColor rgb="FFFFFF00"/>
        </patternFill>
      </fill>
    </dxf>
    <dxf>
      <fill>
        <patternFill patternType="solid">
          <fgColor rgb="FF00FF00"/>
          <bgColor rgb="FF00FF00"/>
        </patternFill>
      </fill>
    </dxf>
    <dxf>
      <fill>
        <patternFill patternType="solid">
          <fgColor rgb="FFFF0000"/>
          <bgColor rgb="FFFF0000"/>
        </patternFill>
      </fill>
    </dxf>
    <dxf>
      <fill>
        <patternFill patternType="solid">
          <fgColor rgb="FFF3F3F3"/>
          <bgColor rgb="FFF3F3F3"/>
        </patternFill>
      </fill>
    </dxf>
    <dxf>
      <fill>
        <patternFill patternType="solid">
          <fgColor rgb="FFFFFFFF"/>
          <bgColor rgb="FFFFFFFF"/>
        </patternFill>
      </fill>
    </dxf>
    <dxf>
      <fill>
        <patternFill patternType="solid">
          <fgColor rgb="FF303030"/>
          <bgColor rgb="FF303030"/>
        </patternFill>
      </fill>
    </dxf>
  </dxfs>
  <tableStyles count="1">
    <tableStyle name="Changelog-style" pivot="0" count="3" xr9:uid="{00000000-0011-0000-FFFF-FFFF00000000}">
      <tableStyleElement type="headerRow" dxfId="36"/>
      <tableStyleElement type="firstRowStripe" dxfId="35"/>
      <tableStyleElement type="secondRowStripe" dxfId="34"/>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b="1">
                <a:solidFill>
                  <a:srgbClr val="757575"/>
                </a:solidFill>
                <a:latin typeface="+mn-lt"/>
              </a:defRPr>
            </a:pPr>
            <a:r>
              <a:rPr b="1">
                <a:solidFill>
                  <a:srgbClr val="757575"/>
                </a:solidFill>
                <a:latin typeface="+mn-lt"/>
              </a:rPr>
              <a:t>Total Damage over Time</a:t>
            </a:r>
          </a:p>
        </c:rich>
      </c:tx>
      <c:overlay val="0"/>
    </c:title>
    <c:autoTitleDeleted val="0"/>
    <c:plotArea>
      <c:layout/>
      <c:scatterChart>
        <c:scatterStyle val="lineMarker"/>
        <c:varyColors val="0"/>
        <c:ser>
          <c:idx val="0"/>
          <c:order val="0"/>
          <c:tx>
            <c:strRef>
              <c:f>Experimental!$L$1</c:f>
              <c:strCache>
                <c:ptCount val="1"/>
                <c:pt idx="0">
                  <c:v>Total</c:v>
                </c:pt>
              </c:strCache>
            </c:strRef>
          </c:tx>
          <c:spPr>
            <a:ln>
              <a:noFill/>
            </a:ln>
          </c:spPr>
          <c:marker>
            <c:symbol val="circle"/>
            <c:size val="7"/>
            <c:spPr>
              <a:solidFill>
                <a:schemeClr val="accent1"/>
              </a:solidFill>
              <a:ln cmpd="sng">
                <a:solidFill>
                  <a:schemeClr val="accent1"/>
                </a:solidFill>
              </a:ln>
            </c:spPr>
          </c:marker>
          <c:trendline>
            <c:spPr>
              <a:ln w="19050">
                <a:solidFill>
                  <a:srgbClr val="000000"/>
                </a:solidFill>
              </a:ln>
            </c:spPr>
            <c:trendlineType val="linear"/>
            <c:dispRSqr val="0"/>
            <c:dispEq val="0"/>
          </c:trendline>
          <c:xVal>
            <c:numRef>
              <c:f>Experimental!$E$2:$E$19</c:f>
              <c:numCache>
                <c:formatCode>0.000</c:formatCode>
                <c:ptCount val="18"/>
                <c:pt idx="0">
                  <c:v>0</c:v>
                </c:pt>
                <c:pt idx="1">
                  <c:v>0.61599999999999999</c:v>
                </c:pt>
                <c:pt idx="2">
                  <c:v>1.149</c:v>
                </c:pt>
                <c:pt idx="3">
                  <c:v>2.133</c:v>
                </c:pt>
                <c:pt idx="4">
                  <c:v>2.2320000000000002</c:v>
                </c:pt>
                <c:pt idx="5">
                  <c:v>3.3150000000000004</c:v>
                </c:pt>
                <c:pt idx="6">
                  <c:v>4.3980000000000006</c:v>
                </c:pt>
                <c:pt idx="7">
                  <c:v>4.569</c:v>
                </c:pt>
                <c:pt idx="8">
                  <c:v>5.8310000000000004</c:v>
                </c:pt>
                <c:pt idx="9">
                  <c:v>6.7010000000000005</c:v>
                </c:pt>
                <c:pt idx="10">
                  <c:v>7.2640000000000002</c:v>
                </c:pt>
                <c:pt idx="11">
                  <c:v>8.5208000000000013</c:v>
                </c:pt>
                <c:pt idx="12">
                  <c:v>8.697000000000001</c:v>
                </c:pt>
                <c:pt idx="13">
                  <c:v>9.6688000000000009</c:v>
                </c:pt>
                <c:pt idx="14">
                  <c:v>10.130000000000001</c:v>
                </c:pt>
                <c:pt idx="15">
                  <c:v>11.563000000000001</c:v>
                </c:pt>
                <c:pt idx="16">
                  <c:v>12.104800000000001</c:v>
                </c:pt>
                <c:pt idx="17">
                  <c:v>12.996</c:v>
                </c:pt>
              </c:numCache>
            </c:numRef>
          </c:xVal>
          <c:yVal>
            <c:numRef>
              <c:f>Experimental!$L$2:$L$19</c:f>
              <c:numCache>
                <c:formatCode>#,###</c:formatCode>
                <c:ptCount val="18"/>
                <c:pt idx="0">
                  <c:v>2675474.5901639345</c:v>
                </c:pt>
                <c:pt idx="1">
                  <c:v>2997573.3379139346</c:v>
                </c:pt>
                <c:pt idx="2">
                  <c:v>5306522.2375227474</c:v>
                </c:pt>
                <c:pt idx="3">
                  <c:v>5628620.9852727475</c:v>
                </c:pt>
                <c:pt idx="4">
                  <c:v>7937569.8848815598</c:v>
                </c:pt>
                <c:pt idx="5">
                  <c:v>10246518.784490373</c:v>
                </c:pt>
                <c:pt idx="6">
                  <c:v>12555467.684099186</c:v>
                </c:pt>
                <c:pt idx="7">
                  <c:v>12880025.660699187</c:v>
                </c:pt>
                <c:pt idx="8">
                  <c:v>15188974.560308</c:v>
                </c:pt>
                <c:pt idx="9">
                  <c:v>15627167.66083331</c:v>
                </c:pt>
                <c:pt idx="10">
                  <c:v>17936116.560442124</c:v>
                </c:pt>
                <c:pt idx="11">
                  <c:v>18228245.294125665</c:v>
                </c:pt>
                <c:pt idx="12">
                  <c:v>20537194.193734478</c:v>
                </c:pt>
                <c:pt idx="13">
                  <c:v>20859292.941484477</c:v>
                </c:pt>
                <c:pt idx="14">
                  <c:v>23168241.841093291</c:v>
                </c:pt>
                <c:pt idx="15">
                  <c:v>25477190.740702104</c:v>
                </c:pt>
                <c:pt idx="16">
                  <c:v>25801748.717302103</c:v>
                </c:pt>
                <c:pt idx="17">
                  <c:v>27619818.716994081</c:v>
                </c:pt>
              </c:numCache>
            </c:numRef>
          </c:yVal>
          <c:smooth val="1"/>
          <c:extLst>
            <c:ext xmlns:c16="http://schemas.microsoft.com/office/drawing/2014/chart" uri="{C3380CC4-5D6E-409C-BE32-E72D297353CC}">
              <c16:uniqueId val="{00000001-A1D2-4425-9AA8-A4540713B514}"/>
            </c:ext>
          </c:extLst>
        </c:ser>
        <c:dLbls>
          <c:showLegendKey val="0"/>
          <c:showVal val="0"/>
          <c:showCatName val="0"/>
          <c:showSerName val="0"/>
          <c:showPercent val="0"/>
          <c:showBubbleSize val="0"/>
        </c:dLbls>
        <c:axId val="1938107021"/>
        <c:axId val="1924263970"/>
      </c:scatterChart>
      <c:valAx>
        <c:axId val="1938107021"/>
        <c:scaling>
          <c:orientation val="minMax"/>
        </c:scaling>
        <c:delete val="0"/>
        <c:axPos val="b"/>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Time</a:t>
                </a:r>
              </a:p>
            </c:rich>
          </c:tx>
          <c:overlay val="0"/>
        </c:title>
        <c:numFmt formatCode="0.000" sourceLinked="1"/>
        <c:majorTickMark val="none"/>
        <c:minorTickMark val="none"/>
        <c:tickLblPos val="nextTo"/>
        <c:spPr>
          <a:ln/>
        </c:spPr>
        <c:txPr>
          <a:bodyPr/>
          <a:lstStyle/>
          <a:p>
            <a:pPr lvl="0">
              <a:defRPr b="0">
                <a:solidFill>
                  <a:srgbClr val="000000"/>
                </a:solidFill>
                <a:latin typeface="+mn-lt"/>
              </a:defRPr>
            </a:pPr>
            <a:endParaRPr lang="en-VG"/>
          </a:p>
        </c:txPr>
        <c:crossAx val="1924263970"/>
        <c:crosses val="autoZero"/>
        <c:crossBetween val="midCat"/>
      </c:valAx>
      <c:valAx>
        <c:axId val="1924263970"/>
        <c:scaling>
          <c:orientation val="minMax"/>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Total</a:t>
                </a:r>
              </a:p>
            </c:rich>
          </c:tx>
          <c:overlay val="0"/>
        </c:title>
        <c:numFmt formatCode="#,###" sourceLinked="1"/>
        <c:majorTickMark val="none"/>
        <c:minorTickMark val="none"/>
        <c:tickLblPos val="nextTo"/>
        <c:spPr>
          <a:ln/>
        </c:spPr>
        <c:txPr>
          <a:bodyPr/>
          <a:lstStyle/>
          <a:p>
            <a:pPr lvl="0">
              <a:defRPr b="0">
                <a:solidFill>
                  <a:srgbClr val="000000"/>
                </a:solidFill>
                <a:latin typeface="+mn-lt"/>
              </a:defRPr>
            </a:pPr>
            <a:endParaRPr lang="en-VG"/>
          </a:p>
        </c:txPr>
        <c:crossAx val="1938107021"/>
        <c:crosses val="autoZero"/>
        <c:crossBetween val="midCat"/>
      </c:valAx>
    </c:plotArea>
    <c:legend>
      <c:legendPos val="r"/>
      <c:overlay val="0"/>
      <c:txPr>
        <a:bodyPr/>
        <a:lstStyle/>
        <a:p>
          <a:pPr lvl="0">
            <a:defRPr b="0">
              <a:solidFill>
                <a:srgbClr val="1A1A1A"/>
              </a:solidFill>
              <a:latin typeface="+mn-lt"/>
            </a:defRPr>
          </a:pPr>
          <a:endParaRPr lang="en-VG"/>
        </a:p>
      </c:txPr>
    </c:legend>
    <c:plotVisOnly val="1"/>
    <c:dispBlanksAs val="zero"/>
    <c:showDLblsOverMax val="1"/>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3" Type="http://schemas.openxmlformats.org/officeDocument/2006/relationships/image" Target="../media/image95.jpg"/><Relationship Id="rId18" Type="http://schemas.openxmlformats.org/officeDocument/2006/relationships/image" Target="../media/image57.jpg"/><Relationship Id="rId26" Type="http://schemas.openxmlformats.org/officeDocument/2006/relationships/image" Target="../media/image93.jpg"/><Relationship Id="rId39" Type="http://schemas.openxmlformats.org/officeDocument/2006/relationships/image" Target="../media/image85.jpg"/><Relationship Id="rId21" Type="http://schemas.openxmlformats.org/officeDocument/2006/relationships/image" Target="../media/image5.jpg"/><Relationship Id="rId34" Type="http://schemas.openxmlformats.org/officeDocument/2006/relationships/image" Target="../media/image80.jpg"/><Relationship Id="rId42" Type="http://schemas.openxmlformats.org/officeDocument/2006/relationships/image" Target="../media/image79.jpg"/><Relationship Id="rId47" Type="http://schemas.openxmlformats.org/officeDocument/2006/relationships/image" Target="../media/image6.jpg"/><Relationship Id="rId50" Type="http://schemas.openxmlformats.org/officeDocument/2006/relationships/image" Target="../media/image102.jpg"/><Relationship Id="rId55" Type="http://schemas.openxmlformats.org/officeDocument/2006/relationships/image" Target="../media/image16.jpg"/><Relationship Id="rId63" Type="http://schemas.openxmlformats.org/officeDocument/2006/relationships/image" Target="../media/image231.png"/><Relationship Id="rId7" Type="http://schemas.openxmlformats.org/officeDocument/2006/relationships/image" Target="../media/image241.jpg"/><Relationship Id="rId2" Type="http://schemas.openxmlformats.org/officeDocument/2006/relationships/image" Target="../media/image132.png"/><Relationship Id="rId16" Type="http://schemas.openxmlformats.org/officeDocument/2006/relationships/image" Target="../media/image114.jpg"/><Relationship Id="rId29" Type="http://schemas.openxmlformats.org/officeDocument/2006/relationships/image" Target="../media/image204.jpg"/><Relationship Id="rId11" Type="http://schemas.openxmlformats.org/officeDocument/2006/relationships/image" Target="../media/image50.jpg"/><Relationship Id="rId24" Type="http://schemas.openxmlformats.org/officeDocument/2006/relationships/image" Target="../media/image125.png"/><Relationship Id="rId32" Type="http://schemas.openxmlformats.org/officeDocument/2006/relationships/image" Target="../media/image207.jpg"/><Relationship Id="rId37" Type="http://schemas.openxmlformats.org/officeDocument/2006/relationships/image" Target="../media/image108.jpg"/><Relationship Id="rId40" Type="http://schemas.openxmlformats.org/officeDocument/2006/relationships/image" Target="../media/image150.png"/><Relationship Id="rId45" Type="http://schemas.openxmlformats.org/officeDocument/2006/relationships/image" Target="../media/image122.jpg"/><Relationship Id="rId53" Type="http://schemas.openxmlformats.org/officeDocument/2006/relationships/image" Target="../media/image222.jpg"/><Relationship Id="rId58" Type="http://schemas.openxmlformats.org/officeDocument/2006/relationships/image" Target="../media/image136.png"/><Relationship Id="rId5" Type="http://schemas.openxmlformats.org/officeDocument/2006/relationships/image" Target="../media/image2.png"/><Relationship Id="rId61" Type="http://schemas.openxmlformats.org/officeDocument/2006/relationships/image" Target="../media/image55.jpg"/><Relationship Id="rId19" Type="http://schemas.openxmlformats.org/officeDocument/2006/relationships/image" Target="../media/image72.jpg"/><Relationship Id="rId14" Type="http://schemas.openxmlformats.org/officeDocument/2006/relationships/image" Target="../media/image10.jpg"/><Relationship Id="rId22" Type="http://schemas.openxmlformats.org/officeDocument/2006/relationships/image" Target="../media/image112.jpg"/><Relationship Id="rId27" Type="http://schemas.openxmlformats.org/officeDocument/2006/relationships/image" Target="../media/image61.jpg"/><Relationship Id="rId30" Type="http://schemas.openxmlformats.org/officeDocument/2006/relationships/image" Target="../media/image133.png"/><Relationship Id="rId35" Type="http://schemas.openxmlformats.org/officeDocument/2006/relationships/image" Target="../media/image119.jpg"/><Relationship Id="rId43" Type="http://schemas.openxmlformats.org/officeDocument/2006/relationships/image" Target="../media/image97.jpg"/><Relationship Id="rId48" Type="http://schemas.openxmlformats.org/officeDocument/2006/relationships/image" Target="../media/image216.jpg"/><Relationship Id="rId56" Type="http://schemas.openxmlformats.org/officeDocument/2006/relationships/image" Target="../media/image121.jpg"/><Relationship Id="rId64" Type="http://schemas.openxmlformats.org/officeDocument/2006/relationships/image" Target="../media/image232.png"/><Relationship Id="rId8" Type="http://schemas.openxmlformats.org/officeDocument/2006/relationships/image" Target="../media/image185.jpg"/><Relationship Id="rId51" Type="http://schemas.openxmlformats.org/officeDocument/2006/relationships/image" Target="../media/image137.png"/><Relationship Id="rId3" Type="http://schemas.openxmlformats.org/officeDocument/2006/relationships/image" Target="../media/image18.jpg"/><Relationship Id="rId12" Type="http://schemas.openxmlformats.org/officeDocument/2006/relationships/image" Target="../media/image98.jpg"/><Relationship Id="rId17" Type="http://schemas.openxmlformats.org/officeDocument/2006/relationships/image" Target="../media/image96.jpg"/><Relationship Id="rId25" Type="http://schemas.openxmlformats.org/officeDocument/2006/relationships/image" Target="../media/image130.png"/><Relationship Id="rId33" Type="http://schemas.openxmlformats.org/officeDocument/2006/relationships/image" Target="../media/image118.jpg"/><Relationship Id="rId38" Type="http://schemas.openxmlformats.org/officeDocument/2006/relationships/image" Target="../media/image99.jpg"/><Relationship Id="rId46" Type="http://schemas.openxmlformats.org/officeDocument/2006/relationships/image" Target="../media/image208.jpg"/><Relationship Id="rId59" Type="http://schemas.openxmlformats.org/officeDocument/2006/relationships/image" Target="../media/image71.jpg"/><Relationship Id="rId20" Type="http://schemas.openxmlformats.org/officeDocument/2006/relationships/image" Target="../media/image56.jpg"/><Relationship Id="rId41" Type="http://schemas.openxmlformats.org/officeDocument/2006/relationships/image" Target="../media/image54.jpg"/><Relationship Id="rId54" Type="http://schemas.openxmlformats.org/officeDocument/2006/relationships/image" Target="../media/image226.jpg"/><Relationship Id="rId62" Type="http://schemas.openxmlformats.org/officeDocument/2006/relationships/image" Target="../media/image152.png"/><Relationship Id="rId1" Type="http://schemas.openxmlformats.org/officeDocument/2006/relationships/image" Target="../media/image82.jpg"/><Relationship Id="rId6" Type="http://schemas.openxmlformats.org/officeDocument/2006/relationships/image" Target="../media/image40.jpg"/><Relationship Id="rId15" Type="http://schemas.openxmlformats.org/officeDocument/2006/relationships/image" Target="../media/image44.jpg"/><Relationship Id="rId23" Type="http://schemas.openxmlformats.org/officeDocument/2006/relationships/image" Target="../media/image24.jpg"/><Relationship Id="rId28" Type="http://schemas.openxmlformats.org/officeDocument/2006/relationships/image" Target="../media/image87.jpg"/><Relationship Id="rId36" Type="http://schemas.openxmlformats.org/officeDocument/2006/relationships/image" Target="../media/image86.jpg"/><Relationship Id="rId49" Type="http://schemas.openxmlformats.org/officeDocument/2006/relationships/image" Target="../media/image83.jpg"/><Relationship Id="rId57" Type="http://schemas.openxmlformats.org/officeDocument/2006/relationships/image" Target="../media/image101.jpg"/><Relationship Id="rId10" Type="http://schemas.openxmlformats.org/officeDocument/2006/relationships/image" Target="../media/image88.jpg"/><Relationship Id="rId31" Type="http://schemas.openxmlformats.org/officeDocument/2006/relationships/image" Target="../media/image110.jpg"/><Relationship Id="rId44" Type="http://schemas.openxmlformats.org/officeDocument/2006/relationships/image" Target="../media/image197.jpg"/><Relationship Id="rId52" Type="http://schemas.openxmlformats.org/officeDocument/2006/relationships/image" Target="../media/image60.jpg"/><Relationship Id="rId60" Type="http://schemas.openxmlformats.org/officeDocument/2006/relationships/image" Target="../media/image123.jpg"/><Relationship Id="rId4" Type="http://schemas.openxmlformats.org/officeDocument/2006/relationships/image" Target="../media/image14.jpg"/><Relationship Id="rId9" Type="http://schemas.openxmlformats.org/officeDocument/2006/relationships/image" Target="../media/image42.jpg"/></Relationships>
</file>

<file path=xl/drawings/_rels/drawing11.xml.rels><?xml version="1.0" encoding="UTF-8" standalone="yes"?>
<Relationships xmlns="http://schemas.openxmlformats.org/package/2006/relationships"><Relationship Id="rId13" Type="http://schemas.openxmlformats.org/officeDocument/2006/relationships/image" Target="../media/image162.png"/><Relationship Id="rId18" Type="http://schemas.openxmlformats.org/officeDocument/2006/relationships/image" Target="../media/image114.jpg"/><Relationship Id="rId26" Type="http://schemas.openxmlformats.org/officeDocument/2006/relationships/image" Target="../media/image112.jpg"/><Relationship Id="rId39" Type="http://schemas.openxmlformats.org/officeDocument/2006/relationships/image" Target="../media/image65.jpg"/><Relationship Id="rId21" Type="http://schemas.openxmlformats.org/officeDocument/2006/relationships/image" Target="../media/image154.png"/><Relationship Id="rId34" Type="http://schemas.openxmlformats.org/officeDocument/2006/relationships/image" Target="../media/image69.jpg"/><Relationship Id="rId42" Type="http://schemas.openxmlformats.org/officeDocument/2006/relationships/image" Target="../media/image155.png"/><Relationship Id="rId47" Type="http://schemas.openxmlformats.org/officeDocument/2006/relationships/image" Target="../media/image125.png"/><Relationship Id="rId50" Type="http://schemas.openxmlformats.org/officeDocument/2006/relationships/image" Target="../media/image132.png"/><Relationship Id="rId7" Type="http://schemas.openxmlformats.org/officeDocument/2006/relationships/image" Target="../media/image40.jpg"/><Relationship Id="rId2" Type="http://schemas.openxmlformats.org/officeDocument/2006/relationships/image" Target="../media/image10.jpg"/><Relationship Id="rId16" Type="http://schemas.openxmlformats.org/officeDocument/2006/relationships/image" Target="../media/image77.jpg"/><Relationship Id="rId29" Type="http://schemas.openxmlformats.org/officeDocument/2006/relationships/image" Target="../media/image119.jpg"/><Relationship Id="rId11" Type="http://schemas.openxmlformats.org/officeDocument/2006/relationships/image" Target="../media/image187.jpg"/><Relationship Id="rId24" Type="http://schemas.openxmlformats.org/officeDocument/2006/relationships/image" Target="../media/image166.png"/><Relationship Id="rId32" Type="http://schemas.openxmlformats.org/officeDocument/2006/relationships/image" Target="../media/image54.jpg"/><Relationship Id="rId37" Type="http://schemas.openxmlformats.org/officeDocument/2006/relationships/image" Target="../media/image15.jpg"/><Relationship Id="rId40" Type="http://schemas.openxmlformats.org/officeDocument/2006/relationships/image" Target="../media/image222.jpg"/><Relationship Id="rId45" Type="http://schemas.openxmlformats.org/officeDocument/2006/relationships/image" Target="../media/image89.jpg"/><Relationship Id="rId53" Type="http://schemas.openxmlformats.org/officeDocument/2006/relationships/image" Target="../media/image55.jpg"/><Relationship Id="rId5" Type="http://schemas.openxmlformats.org/officeDocument/2006/relationships/image" Target="../media/image82.jpg"/><Relationship Id="rId10" Type="http://schemas.openxmlformats.org/officeDocument/2006/relationships/image" Target="../media/image242.jpg"/><Relationship Id="rId19" Type="http://schemas.openxmlformats.org/officeDocument/2006/relationships/image" Target="../media/image50.jpg"/><Relationship Id="rId31" Type="http://schemas.openxmlformats.org/officeDocument/2006/relationships/image" Target="../media/image97.jpg"/><Relationship Id="rId44" Type="http://schemas.openxmlformats.org/officeDocument/2006/relationships/image" Target="../media/image108.jpg"/><Relationship Id="rId52" Type="http://schemas.openxmlformats.org/officeDocument/2006/relationships/image" Target="../media/image133.png"/><Relationship Id="rId4" Type="http://schemas.openxmlformats.org/officeDocument/2006/relationships/image" Target="../media/image153.png"/><Relationship Id="rId9" Type="http://schemas.openxmlformats.org/officeDocument/2006/relationships/image" Target="../media/image18.jpg"/><Relationship Id="rId14" Type="http://schemas.openxmlformats.org/officeDocument/2006/relationships/image" Target="../media/image2.png"/><Relationship Id="rId22" Type="http://schemas.openxmlformats.org/officeDocument/2006/relationships/image" Target="../media/image24.jpg"/><Relationship Id="rId27" Type="http://schemas.openxmlformats.org/officeDocument/2006/relationships/image" Target="../media/image163.png"/><Relationship Id="rId30" Type="http://schemas.openxmlformats.org/officeDocument/2006/relationships/image" Target="../media/image35.jpg"/><Relationship Id="rId35" Type="http://schemas.openxmlformats.org/officeDocument/2006/relationships/image" Target="../media/image208.jpg"/><Relationship Id="rId43" Type="http://schemas.openxmlformats.org/officeDocument/2006/relationships/image" Target="../media/image158.png"/><Relationship Id="rId48" Type="http://schemas.openxmlformats.org/officeDocument/2006/relationships/image" Target="../media/image71.jpg"/><Relationship Id="rId8" Type="http://schemas.openxmlformats.org/officeDocument/2006/relationships/image" Target="../media/image14.jpg"/><Relationship Id="rId51" Type="http://schemas.openxmlformats.org/officeDocument/2006/relationships/image" Target="../media/image130.png"/><Relationship Id="rId3" Type="http://schemas.openxmlformats.org/officeDocument/2006/relationships/image" Target="../media/image6.jpg"/><Relationship Id="rId12" Type="http://schemas.openxmlformats.org/officeDocument/2006/relationships/image" Target="../media/image241.jpg"/><Relationship Id="rId17" Type="http://schemas.openxmlformats.org/officeDocument/2006/relationships/image" Target="../media/image243.jpg"/><Relationship Id="rId25" Type="http://schemas.openxmlformats.org/officeDocument/2006/relationships/image" Target="../media/image170.png"/><Relationship Id="rId33" Type="http://schemas.openxmlformats.org/officeDocument/2006/relationships/image" Target="../media/image19.jpg"/><Relationship Id="rId38" Type="http://schemas.openxmlformats.org/officeDocument/2006/relationships/image" Target="../media/image216.jpg"/><Relationship Id="rId46" Type="http://schemas.openxmlformats.org/officeDocument/2006/relationships/image" Target="../media/image137.png"/><Relationship Id="rId20" Type="http://schemas.openxmlformats.org/officeDocument/2006/relationships/image" Target="../media/image16.jpg"/><Relationship Id="rId41" Type="http://schemas.openxmlformats.org/officeDocument/2006/relationships/image" Target="../media/image226.jpg"/><Relationship Id="rId1" Type="http://schemas.openxmlformats.org/officeDocument/2006/relationships/image" Target="../media/image160.png"/><Relationship Id="rId6" Type="http://schemas.openxmlformats.org/officeDocument/2006/relationships/image" Target="../media/image143.png"/><Relationship Id="rId15" Type="http://schemas.openxmlformats.org/officeDocument/2006/relationships/image" Target="../media/image42.jpg"/><Relationship Id="rId23" Type="http://schemas.openxmlformats.org/officeDocument/2006/relationships/image" Target="../media/image96.jpg"/><Relationship Id="rId28" Type="http://schemas.openxmlformats.org/officeDocument/2006/relationships/image" Target="../media/image56.jpg"/><Relationship Id="rId36" Type="http://schemas.openxmlformats.org/officeDocument/2006/relationships/image" Target="../media/image5.jpg"/><Relationship Id="rId49" Type="http://schemas.openxmlformats.org/officeDocument/2006/relationships/image" Target="../media/image136.png"/></Relationships>
</file>

<file path=xl/drawings/_rels/drawing12.xml.rels><?xml version="1.0" encoding="UTF-8" standalone="yes"?>
<Relationships xmlns="http://schemas.openxmlformats.org/package/2006/relationships"><Relationship Id="rId2" Type="http://schemas.openxmlformats.org/officeDocument/2006/relationships/image" Target="../media/image80.jpg"/><Relationship Id="rId1" Type="http://schemas.openxmlformats.org/officeDocument/2006/relationships/image" Target="../media/image87.jpg"/></Relationships>
</file>

<file path=xl/drawings/_rels/drawing13.xml.rels><?xml version="1.0" encoding="UTF-8" standalone="yes"?>
<Relationships xmlns="http://schemas.openxmlformats.org/package/2006/relationships"><Relationship Id="rId26" Type="http://schemas.openxmlformats.org/officeDocument/2006/relationships/image" Target="../media/image5.jpg"/><Relationship Id="rId21" Type="http://schemas.openxmlformats.org/officeDocument/2006/relationships/image" Target="../media/image72.jpg"/><Relationship Id="rId42" Type="http://schemas.openxmlformats.org/officeDocument/2006/relationships/image" Target="../media/image61.jpg"/><Relationship Id="rId47" Type="http://schemas.openxmlformats.org/officeDocument/2006/relationships/image" Target="../media/image226.jpg"/><Relationship Id="rId63" Type="http://schemas.openxmlformats.org/officeDocument/2006/relationships/image" Target="../media/image170.png"/><Relationship Id="rId68" Type="http://schemas.openxmlformats.org/officeDocument/2006/relationships/image" Target="../media/image232.png"/><Relationship Id="rId7" Type="http://schemas.openxmlformats.org/officeDocument/2006/relationships/image" Target="../media/image122.jpg"/><Relationship Id="rId71" Type="http://schemas.openxmlformats.org/officeDocument/2006/relationships/image" Target="../media/image55.jpg"/><Relationship Id="rId2" Type="http://schemas.openxmlformats.org/officeDocument/2006/relationships/image" Target="../media/image222.jpg"/><Relationship Id="rId16" Type="http://schemas.openxmlformats.org/officeDocument/2006/relationships/image" Target="../media/image97.jpg"/><Relationship Id="rId29" Type="http://schemas.openxmlformats.org/officeDocument/2006/relationships/image" Target="../media/image83.jpg"/><Relationship Id="rId11" Type="http://schemas.openxmlformats.org/officeDocument/2006/relationships/image" Target="../media/image18.jpg"/><Relationship Id="rId24" Type="http://schemas.openxmlformats.org/officeDocument/2006/relationships/image" Target="../media/image125.png"/><Relationship Id="rId32" Type="http://schemas.openxmlformats.org/officeDocument/2006/relationships/image" Target="../media/image6.jpg"/><Relationship Id="rId37" Type="http://schemas.openxmlformats.org/officeDocument/2006/relationships/image" Target="../media/image99.jpg"/><Relationship Id="rId40" Type="http://schemas.openxmlformats.org/officeDocument/2006/relationships/image" Target="../media/image162.png"/><Relationship Id="rId45" Type="http://schemas.openxmlformats.org/officeDocument/2006/relationships/image" Target="../media/image197.jpg"/><Relationship Id="rId53" Type="http://schemas.openxmlformats.org/officeDocument/2006/relationships/image" Target="../media/image80.jpg"/><Relationship Id="rId58" Type="http://schemas.openxmlformats.org/officeDocument/2006/relationships/image" Target="../media/image118.jpg"/><Relationship Id="rId66" Type="http://schemas.openxmlformats.org/officeDocument/2006/relationships/image" Target="../media/image137.png"/><Relationship Id="rId5" Type="http://schemas.openxmlformats.org/officeDocument/2006/relationships/image" Target="../media/image2.png"/><Relationship Id="rId61" Type="http://schemas.openxmlformats.org/officeDocument/2006/relationships/image" Target="../media/image112.jpg"/><Relationship Id="rId19" Type="http://schemas.openxmlformats.org/officeDocument/2006/relationships/image" Target="../media/image88.jpg"/><Relationship Id="rId14" Type="http://schemas.openxmlformats.org/officeDocument/2006/relationships/image" Target="../media/image153.png"/><Relationship Id="rId22" Type="http://schemas.openxmlformats.org/officeDocument/2006/relationships/image" Target="../media/image123.jpg"/><Relationship Id="rId27" Type="http://schemas.openxmlformats.org/officeDocument/2006/relationships/image" Target="../media/image160.png"/><Relationship Id="rId30" Type="http://schemas.openxmlformats.org/officeDocument/2006/relationships/image" Target="../media/image216.jpg"/><Relationship Id="rId35" Type="http://schemas.openxmlformats.org/officeDocument/2006/relationships/image" Target="../media/image57.jpg"/><Relationship Id="rId43" Type="http://schemas.openxmlformats.org/officeDocument/2006/relationships/image" Target="../media/image10.jpg"/><Relationship Id="rId48" Type="http://schemas.openxmlformats.org/officeDocument/2006/relationships/image" Target="../media/image40.jpg"/><Relationship Id="rId56" Type="http://schemas.openxmlformats.org/officeDocument/2006/relationships/image" Target="../media/image79.jpg"/><Relationship Id="rId64" Type="http://schemas.openxmlformats.org/officeDocument/2006/relationships/image" Target="../media/image86.jpg"/><Relationship Id="rId69" Type="http://schemas.openxmlformats.org/officeDocument/2006/relationships/image" Target="../media/image110.jpg"/><Relationship Id="rId8" Type="http://schemas.openxmlformats.org/officeDocument/2006/relationships/image" Target="../media/image204.jpg"/><Relationship Id="rId51" Type="http://schemas.openxmlformats.org/officeDocument/2006/relationships/image" Target="../media/image85.jpg"/><Relationship Id="rId72" Type="http://schemas.openxmlformats.org/officeDocument/2006/relationships/image" Target="../media/image87.jpg"/><Relationship Id="rId3" Type="http://schemas.openxmlformats.org/officeDocument/2006/relationships/image" Target="../media/image58.png"/><Relationship Id="rId12" Type="http://schemas.openxmlformats.org/officeDocument/2006/relationships/image" Target="../media/image71.jpg"/><Relationship Id="rId17" Type="http://schemas.openxmlformats.org/officeDocument/2006/relationships/image" Target="../media/image207.jpg"/><Relationship Id="rId25" Type="http://schemas.openxmlformats.org/officeDocument/2006/relationships/image" Target="../media/image158.png"/><Relationship Id="rId33" Type="http://schemas.openxmlformats.org/officeDocument/2006/relationships/image" Target="../media/image231.png"/><Relationship Id="rId38" Type="http://schemas.openxmlformats.org/officeDocument/2006/relationships/image" Target="../media/image42.jpg"/><Relationship Id="rId46" Type="http://schemas.openxmlformats.org/officeDocument/2006/relationships/image" Target="../media/image130.png"/><Relationship Id="rId59" Type="http://schemas.openxmlformats.org/officeDocument/2006/relationships/image" Target="../media/image93.jpg"/><Relationship Id="rId67" Type="http://schemas.openxmlformats.org/officeDocument/2006/relationships/image" Target="../media/image95.jpg"/><Relationship Id="rId20" Type="http://schemas.openxmlformats.org/officeDocument/2006/relationships/image" Target="../media/image101.jpg"/><Relationship Id="rId41" Type="http://schemas.openxmlformats.org/officeDocument/2006/relationships/image" Target="../media/image163.png"/><Relationship Id="rId54" Type="http://schemas.openxmlformats.org/officeDocument/2006/relationships/image" Target="../media/image132.png"/><Relationship Id="rId62" Type="http://schemas.openxmlformats.org/officeDocument/2006/relationships/image" Target="../media/image150.png"/><Relationship Id="rId70" Type="http://schemas.openxmlformats.org/officeDocument/2006/relationships/image" Target="../media/image16.jpg"/><Relationship Id="rId1" Type="http://schemas.openxmlformats.org/officeDocument/2006/relationships/image" Target="../media/image152.png"/><Relationship Id="rId6" Type="http://schemas.openxmlformats.org/officeDocument/2006/relationships/image" Target="../media/image185.jpg"/><Relationship Id="rId15" Type="http://schemas.openxmlformats.org/officeDocument/2006/relationships/image" Target="../media/image108.jpg"/><Relationship Id="rId23" Type="http://schemas.openxmlformats.org/officeDocument/2006/relationships/image" Target="../media/image102.jpg"/><Relationship Id="rId28" Type="http://schemas.openxmlformats.org/officeDocument/2006/relationships/image" Target="../media/image82.jpg"/><Relationship Id="rId36" Type="http://schemas.openxmlformats.org/officeDocument/2006/relationships/image" Target="../media/image56.jpg"/><Relationship Id="rId49" Type="http://schemas.openxmlformats.org/officeDocument/2006/relationships/image" Target="../media/image24.jpg"/><Relationship Id="rId57" Type="http://schemas.openxmlformats.org/officeDocument/2006/relationships/image" Target="../media/image14.jpg"/><Relationship Id="rId10" Type="http://schemas.openxmlformats.org/officeDocument/2006/relationships/image" Target="../media/image208.jpg"/><Relationship Id="rId31" Type="http://schemas.openxmlformats.org/officeDocument/2006/relationships/image" Target="../media/image60.jpg"/><Relationship Id="rId44" Type="http://schemas.openxmlformats.org/officeDocument/2006/relationships/image" Target="../media/image50.jpg"/><Relationship Id="rId52" Type="http://schemas.openxmlformats.org/officeDocument/2006/relationships/image" Target="../media/image166.png"/><Relationship Id="rId60" Type="http://schemas.openxmlformats.org/officeDocument/2006/relationships/image" Target="../media/image136.png"/><Relationship Id="rId65" Type="http://schemas.openxmlformats.org/officeDocument/2006/relationships/image" Target="../media/image121.jpg"/><Relationship Id="rId4" Type="http://schemas.openxmlformats.org/officeDocument/2006/relationships/image" Target="../media/image241.jpg"/><Relationship Id="rId9" Type="http://schemas.openxmlformats.org/officeDocument/2006/relationships/image" Target="../media/image96.jpg"/><Relationship Id="rId13" Type="http://schemas.openxmlformats.org/officeDocument/2006/relationships/image" Target="../media/image114.jpg"/><Relationship Id="rId18" Type="http://schemas.openxmlformats.org/officeDocument/2006/relationships/image" Target="../media/image119.jpg"/><Relationship Id="rId39" Type="http://schemas.openxmlformats.org/officeDocument/2006/relationships/image" Target="../media/image44.jpg"/><Relationship Id="rId34" Type="http://schemas.openxmlformats.org/officeDocument/2006/relationships/image" Target="../media/image98.jpg"/><Relationship Id="rId50" Type="http://schemas.openxmlformats.org/officeDocument/2006/relationships/image" Target="../media/image54.jpg"/><Relationship Id="rId55" Type="http://schemas.openxmlformats.org/officeDocument/2006/relationships/image" Target="../media/image133.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44.jpg"/><Relationship Id="rId2" Type="http://schemas.openxmlformats.org/officeDocument/2006/relationships/image" Target="../media/image18.jpg"/><Relationship Id="rId1" Type="http://schemas.openxmlformats.org/officeDocument/2006/relationships/image" Target="../media/image2.png"/><Relationship Id="rId5" Type="http://schemas.openxmlformats.org/officeDocument/2006/relationships/image" Target="../media/image246.jpg"/><Relationship Id="rId4" Type="http://schemas.openxmlformats.org/officeDocument/2006/relationships/image" Target="../media/image245.jpg"/></Relationships>
</file>

<file path=xl/drawings/_rels/drawing15.xml.rels><?xml version="1.0" encoding="UTF-8" standalone="yes"?>
<Relationships xmlns="http://schemas.openxmlformats.org/package/2006/relationships"><Relationship Id="rId8" Type="http://schemas.openxmlformats.org/officeDocument/2006/relationships/image" Target="../media/image71.jpg"/><Relationship Id="rId13" Type="http://schemas.openxmlformats.org/officeDocument/2006/relationships/image" Target="../media/image249.jpg"/><Relationship Id="rId3" Type="http://schemas.openxmlformats.org/officeDocument/2006/relationships/image" Target="../media/image14.jpg"/><Relationship Id="rId7" Type="http://schemas.openxmlformats.org/officeDocument/2006/relationships/image" Target="../media/image247.jpg"/><Relationship Id="rId12" Type="http://schemas.openxmlformats.org/officeDocument/2006/relationships/image" Target="../media/image214.jpg"/><Relationship Id="rId2" Type="http://schemas.openxmlformats.org/officeDocument/2006/relationships/image" Target="../media/image149.png"/><Relationship Id="rId1" Type="http://schemas.openxmlformats.org/officeDocument/2006/relationships/image" Target="../media/image150.png"/><Relationship Id="rId6" Type="http://schemas.openxmlformats.org/officeDocument/2006/relationships/image" Target="../media/image69.jpg"/><Relationship Id="rId11" Type="http://schemas.openxmlformats.org/officeDocument/2006/relationships/image" Target="../media/image248.jpg"/><Relationship Id="rId5" Type="http://schemas.openxmlformats.org/officeDocument/2006/relationships/image" Target="../media/image143.png"/><Relationship Id="rId15" Type="http://schemas.openxmlformats.org/officeDocument/2006/relationships/image" Target="../media/image86.jpg"/><Relationship Id="rId10" Type="http://schemas.openxmlformats.org/officeDocument/2006/relationships/image" Target="../media/image6.jpg"/><Relationship Id="rId4" Type="http://schemas.openxmlformats.org/officeDocument/2006/relationships/image" Target="../media/image18.jpg"/><Relationship Id="rId9" Type="http://schemas.openxmlformats.org/officeDocument/2006/relationships/image" Target="../media/image80.jpg"/><Relationship Id="rId14" Type="http://schemas.openxmlformats.org/officeDocument/2006/relationships/image" Target="../media/image85.jpg"/></Relationships>
</file>

<file path=xl/drawings/_rels/drawing16.xml.rels><?xml version="1.0" encoding="UTF-8" standalone="yes"?>
<Relationships xmlns="http://schemas.openxmlformats.org/package/2006/relationships"><Relationship Id="rId3" Type="http://schemas.openxmlformats.org/officeDocument/2006/relationships/image" Target="../media/image14.jpg"/><Relationship Id="rId2" Type="http://schemas.openxmlformats.org/officeDocument/2006/relationships/image" Target="../media/image160.png"/><Relationship Id="rId1" Type="http://schemas.openxmlformats.org/officeDocument/2006/relationships/chart" Target="../charts/chart1.xml"/><Relationship Id="rId6" Type="http://schemas.openxmlformats.org/officeDocument/2006/relationships/image" Target="../media/image242.jpg"/><Relationship Id="rId5" Type="http://schemas.openxmlformats.org/officeDocument/2006/relationships/image" Target="../media/image179.jpg"/><Relationship Id="rId4" Type="http://schemas.openxmlformats.org/officeDocument/2006/relationships/image" Target="../media/image18.jpg"/></Relationships>
</file>

<file path=xl/drawings/_rels/drawing17.xml.rels><?xml version="1.0" encoding="UTF-8" standalone="yes"?>
<Relationships xmlns="http://schemas.openxmlformats.org/package/2006/relationships"><Relationship Id="rId26" Type="http://schemas.openxmlformats.org/officeDocument/2006/relationships/image" Target="../media/image160.png"/><Relationship Id="rId21" Type="http://schemas.openxmlformats.org/officeDocument/2006/relationships/image" Target="../media/image123.jpg"/><Relationship Id="rId42" Type="http://schemas.openxmlformats.org/officeDocument/2006/relationships/image" Target="../media/image10.jpg"/><Relationship Id="rId47" Type="http://schemas.openxmlformats.org/officeDocument/2006/relationships/image" Target="../media/image54.jpg"/><Relationship Id="rId63" Type="http://schemas.openxmlformats.org/officeDocument/2006/relationships/image" Target="../media/image121.jpg"/><Relationship Id="rId68" Type="http://schemas.openxmlformats.org/officeDocument/2006/relationships/image" Target="../media/image16.jpg"/><Relationship Id="rId7" Type="http://schemas.openxmlformats.org/officeDocument/2006/relationships/image" Target="../media/image208.jpg"/><Relationship Id="rId2" Type="http://schemas.openxmlformats.org/officeDocument/2006/relationships/image" Target="../media/image58.png"/><Relationship Id="rId16" Type="http://schemas.openxmlformats.org/officeDocument/2006/relationships/image" Target="../media/image97.jpg"/><Relationship Id="rId29" Type="http://schemas.openxmlformats.org/officeDocument/2006/relationships/image" Target="../media/image60.jpg"/><Relationship Id="rId11" Type="http://schemas.openxmlformats.org/officeDocument/2006/relationships/image" Target="../media/image153.png"/><Relationship Id="rId24" Type="http://schemas.openxmlformats.org/officeDocument/2006/relationships/image" Target="../media/image158.png"/><Relationship Id="rId32" Type="http://schemas.openxmlformats.org/officeDocument/2006/relationships/image" Target="../media/image231.png"/><Relationship Id="rId37" Type="http://schemas.openxmlformats.org/officeDocument/2006/relationships/image" Target="../media/image42.jpg"/><Relationship Id="rId40" Type="http://schemas.openxmlformats.org/officeDocument/2006/relationships/image" Target="../media/image163.png"/><Relationship Id="rId45" Type="http://schemas.openxmlformats.org/officeDocument/2006/relationships/image" Target="../media/image226.jpg"/><Relationship Id="rId53" Type="http://schemas.openxmlformats.org/officeDocument/2006/relationships/image" Target="../media/image79.jpg"/><Relationship Id="rId58" Type="http://schemas.openxmlformats.org/officeDocument/2006/relationships/image" Target="../media/image136.png"/><Relationship Id="rId66" Type="http://schemas.openxmlformats.org/officeDocument/2006/relationships/image" Target="../media/image232.png"/><Relationship Id="rId5" Type="http://schemas.openxmlformats.org/officeDocument/2006/relationships/image" Target="../media/image122.jpg"/><Relationship Id="rId61" Type="http://schemas.openxmlformats.org/officeDocument/2006/relationships/image" Target="../media/image170.png"/><Relationship Id="rId19" Type="http://schemas.openxmlformats.org/officeDocument/2006/relationships/image" Target="../media/image101.jpg"/><Relationship Id="rId14" Type="http://schemas.openxmlformats.org/officeDocument/2006/relationships/image" Target="../media/image108.jpg"/><Relationship Id="rId22" Type="http://schemas.openxmlformats.org/officeDocument/2006/relationships/image" Target="../media/image102.jpg"/><Relationship Id="rId27" Type="http://schemas.openxmlformats.org/officeDocument/2006/relationships/image" Target="../media/image82.jpg"/><Relationship Id="rId30" Type="http://schemas.openxmlformats.org/officeDocument/2006/relationships/image" Target="../media/image216.jpg"/><Relationship Id="rId35" Type="http://schemas.openxmlformats.org/officeDocument/2006/relationships/image" Target="../media/image56.jpg"/><Relationship Id="rId43" Type="http://schemas.openxmlformats.org/officeDocument/2006/relationships/image" Target="../media/image50.jpg"/><Relationship Id="rId48" Type="http://schemas.openxmlformats.org/officeDocument/2006/relationships/image" Target="../media/image85.jpg"/><Relationship Id="rId56" Type="http://schemas.openxmlformats.org/officeDocument/2006/relationships/image" Target="../media/image118.jpg"/><Relationship Id="rId64" Type="http://schemas.openxmlformats.org/officeDocument/2006/relationships/image" Target="../media/image137.png"/><Relationship Id="rId69" Type="http://schemas.openxmlformats.org/officeDocument/2006/relationships/image" Target="../media/image55.jpg"/><Relationship Id="rId8" Type="http://schemas.openxmlformats.org/officeDocument/2006/relationships/image" Target="../media/image71.jpg"/><Relationship Id="rId51" Type="http://schemas.openxmlformats.org/officeDocument/2006/relationships/image" Target="../media/image132.png"/><Relationship Id="rId3" Type="http://schemas.openxmlformats.org/officeDocument/2006/relationships/image" Target="../media/image222.jpg"/><Relationship Id="rId12" Type="http://schemas.openxmlformats.org/officeDocument/2006/relationships/image" Target="../media/image204.jpg"/><Relationship Id="rId17" Type="http://schemas.openxmlformats.org/officeDocument/2006/relationships/image" Target="../media/image119.jpg"/><Relationship Id="rId25" Type="http://schemas.openxmlformats.org/officeDocument/2006/relationships/image" Target="../media/image5.jpg"/><Relationship Id="rId33" Type="http://schemas.openxmlformats.org/officeDocument/2006/relationships/image" Target="../media/image98.jpg"/><Relationship Id="rId38" Type="http://schemas.openxmlformats.org/officeDocument/2006/relationships/image" Target="../media/image44.jpg"/><Relationship Id="rId46" Type="http://schemas.openxmlformats.org/officeDocument/2006/relationships/image" Target="../media/image24.jpg"/><Relationship Id="rId59" Type="http://schemas.openxmlformats.org/officeDocument/2006/relationships/image" Target="../media/image112.jpg"/><Relationship Id="rId67" Type="http://schemas.openxmlformats.org/officeDocument/2006/relationships/image" Target="../media/image110.jpg"/><Relationship Id="rId20" Type="http://schemas.openxmlformats.org/officeDocument/2006/relationships/image" Target="../media/image72.jpg"/><Relationship Id="rId41" Type="http://schemas.openxmlformats.org/officeDocument/2006/relationships/image" Target="../media/image61.jpg"/><Relationship Id="rId54" Type="http://schemas.openxmlformats.org/officeDocument/2006/relationships/image" Target="../media/image14.jpg"/><Relationship Id="rId62" Type="http://schemas.openxmlformats.org/officeDocument/2006/relationships/image" Target="../media/image86.jpg"/><Relationship Id="rId70" Type="http://schemas.openxmlformats.org/officeDocument/2006/relationships/image" Target="../media/image87.jpg"/><Relationship Id="rId1" Type="http://schemas.openxmlformats.org/officeDocument/2006/relationships/image" Target="../media/image152.png"/><Relationship Id="rId6" Type="http://schemas.openxmlformats.org/officeDocument/2006/relationships/image" Target="../media/image96.jpg"/><Relationship Id="rId15" Type="http://schemas.openxmlformats.org/officeDocument/2006/relationships/image" Target="../media/image18.jpg"/><Relationship Id="rId23" Type="http://schemas.openxmlformats.org/officeDocument/2006/relationships/image" Target="../media/image125.png"/><Relationship Id="rId28" Type="http://schemas.openxmlformats.org/officeDocument/2006/relationships/image" Target="../media/image83.jpg"/><Relationship Id="rId36" Type="http://schemas.openxmlformats.org/officeDocument/2006/relationships/image" Target="../media/image99.jpg"/><Relationship Id="rId49" Type="http://schemas.openxmlformats.org/officeDocument/2006/relationships/image" Target="../media/image166.png"/><Relationship Id="rId57" Type="http://schemas.openxmlformats.org/officeDocument/2006/relationships/image" Target="../media/image93.jpg"/><Relationship Id="rId10" Type="http://schemas.openxmlformats.org/officeDocument/2006/relationships/image" Target="../media/image114.jpg"/><Relationship Id="rId31" Type="http://schemas.openxmlformats.org/officeDocument/2006/relationships/image" Target="../media/image6.jpg"/><Relationship Id="rId44" Type="http://schemas.openxmlformats.org/officeDocument/2006/relationships/image" Target="../media/image130.png"/><Relationship Id="rId52" Type="http://schemas.openxmlformats.org/officeDocument/2006/relationships/image" Target="../media/image133.png"/><Relationship Id="rId60" Type="http://schemas.openxmlformats.org/officeDocument/2006/relationships/image" Target="../media/image150.png"/><Relationship Id="rId65" Type="http://schemas.openxmlformats.org/officeDocument/2006/relationships/image" Target="../media/image95.jpg"/><Relationship Id="rId4" Type="http://schemas.openxmlformats.org/officeDocument/2006/relationships/image" Target="../media/image241.jpg"/><Relationship Id="rId9" Type="http://schemas.openxmlformats.org/officeDocument/2006/relationships/image" Target="../media/image2.png"/><Relationship Id="rId13" Type="http://schemas.openxmlformats.org/officeDocument/2006/relationships/image" Target="../media/image197.jpg"/><Relationship Id="rId18" Type="http://schemas.openxmlformats.org/officeDocument/2006/relationships/image" Target="../media/image88.jpg"/><Relationship Id="rId39" Type="http://schemas.openxmlformats.org/officeDocument/2006/relationships/image" Target="../media/image162.png"/><Relationship Id="rId34" Type="http://schemas.openxmlformats.org/officeDocument/2006/relationships/image" Target="../media/image57.jpg"/><Relationship Id="rId50" Type="http://schemas.openxmlformats.org/officeDocument/2006/relationships/image" Target="../media/image80.jpg"/><Relationship Id="rId55" Type="http://schemas.openxmlformats.org/officeDocument/2006/relationships/image" Target="../media/image185.jpg"/></Relationships>
</file>

<file path=xl/drawings/_rels/drawing18.xml.rels><?xml version="1.0" encoding="UTF-8" standalone="yes"?>
<Relationships xmlns="http://schemas.openxmlformats.org/package/2006/relationships"><Relationship Id="rId13" Type="http://schemas.openxmlformats.org/officeDocument/2006/relationships/image" Target="../media/image145.png"/><Relationship Id="rId18" Type="http://schemas.openxmlformats.org/officeDocument/2006/relationships/image" Target="../media/image149.png"/><Relationship Id="rId26" Type="http://schemas.openxmlformats.org/officeDocument/2006/relationships/image" Target="../media/image140.png"/><Relationship Id="rId39" Type="http://schemas.openxmlformats.org/officeDocument/2006/relationships/image" Target="../media/image136.png"/><Relationship Id="rId21" Type="http://schemas.openxmlformats.org/officeDocument/2006/relationships/image" Target="../media/image233.png"/><Relationship Id="rId34" Type="http://schemas.openxmlformats.org/officeDocument/2006/relationships/image" Target="../media/image132.png"/><Relationship Id="rId42" Type="http://schemas.openxmlformats.org/officeDocument/2006/relationships/image" Target="../media/image156.png"/><Relationship Id="rId47" Type="http://schemas.openxmlformats.org/officeDocument/2006/relationships/image" Target="../media/image153.png"/><Relationship Id="rId50" Type="http://schemas.openxmlformats.org/officeDocument/2006/relationships/image" Target="../media/image155.png"/><Relationship Id="rId55" Type="http://schemas.openxmlformats.org/officeDocument/2006/relationships/image" Target="../media/image171.png"/><Relationship Id="rId63" Type="http://schemas.openxmlformats.org/officeDocument/2006/relationships/image" Target="../media/image264.png"/><Relationship Id="rId7" Type="http://schemas.openxmlformats.org/officeDocument/2006/relationships/image" Target="../media/image146.png"/><Relationship Id="rId2" Type="http://schemas.openxmlformats.org/officeDocument/2006/relationships/image" Target="../media/image173.png"/><Relationship Id="rId16" Type="http://schemas.openxmlformats.org/officeDocument/2006/relationships/image" Target="../media/image148.png"/><Relationship Id="rId29" Type="http://schemas.openxmlformats.org/officeDocument/2006/relationships/image" Target="../media/image131.png"/><Relationship Id="rId11" Type="http://schemas.openxmlformats.org/officeDocument/2006/relationships/image" Target="../media/image257.png"/><Relationship Id="rId24" Type="http://schemas.openxmlformats.org/officeDocument/2006/relationships/image" Target="../media/image130.png"/><Relationship Id="rId32" Type="http://schemas.openxmlformats.org/officeDocument/2006/relationships/image" Target="../media/image135.png"/><Relationship Id="rId37" Type="http://schemas.openxmlformats.org/officeDocument/2006/relationships/image" Target="../media/image260.png"/><Relationship Id="rId40" Type="http://schemas.openxmlformats.org/officeDocument/2006/relationships/image" Target="../media/image261.png"/><Relationship Id="rId45" Type="http://schemas.openxmlformats.org/officeDocument/2006/relationships/image" Target="../media/image152.png"/><Relationship Id="rId53" Type="http://schemas.openxmlformats.org/officeDocument/2006/relationships/image" Target="../media/image164.png"/><Relationship Id="rId58" Type="http://schemas.openxmlformats.org/officeDocument/2006/relationships/image" Target="../media/image154.png"/><Relationship Id="rId5" Type="http://schemas.openxmlformats.org/officeDocument/2006/relationships/image" Target="../media/image252.png"/><Relationship Id="rId61" Type="http://schemas.openxmlformats.org/officeDocument/2006/relationships/image" Target="../media/image262.png"/><Relationship Id="rId19" Type="http://schemas.openxmlformats.org/officeDocument/2006/relationships/image" Target="../media/image259.png"/><Relationship Id="rId14" Type="http://schemas.openxmlformats.org/officeDocument/2006/relationships/image" Target="../media/image142.png"/><Relationship Id="rId22" Type="http://schemas.openxmlformats.org/officeDocument/2006/relationships/image" Target="../media/image124.png"/><Relationship Id="rId27" Type="http://schemas.openxmlformats.org/officeDocument/2006/relationships/image" Target="../media/image138.png"/><Relationship Id="rId30" Type="http://schemas.openxmlformats.org/officeDocument/2006/relationships/image" Target="../media/image129.png"/><Relationship Id="rId35" Type="http://schemas.openxmlformats.org/officeDocument/2006/relationships/image" Target="../media/image134.png"/><Relationship Id="rId43" Type="http://schemas.openxmlformats.org/officeDocument/2006/relationships/image" Target="../media/image169.png"/><Relationship Id="rId48" Type="http://schemas.openxmlformats.org/officeDocument/2006/relationships/image" Target="../media/image157.png"/><Relationship Id="rId56" Type="http://schemas.openxmlformats.org/officeDocument/2006/relationships/image" Target="../media/image159.png"/><Relationship Id="rId64" Type="http://schemas.openxmlformats.org/officeDocument/2006/relationships/image" Target="../media/image55.jpg"/><Relationship Id="rId8" Type="http://schemas.openxmlformats.org/officeDocument/2006/relationships/image" Target="../media/image254.png"/><Relationship Id="rId51" Type="http://schemas.openxmlformats.org/officeDocument/2006/relationships/image" Target="../media/image166.png"/><Relationship Id="rId3" Type="http://schemas.openxmlformats.org/officeDocument/2006/relationships/image" Target="../media/image251.png"/><Relationship Id="rId12" Type="http://schemas.openxmlformats.org/officeDocument/2006/relationships/image" Target="../media/image150.png"/><Relationship Id="rId17" Type="http://schemas.openxmlformats.org/officeDocument/2006/relationships/image" Target="../media/image258.png"/><Relationship Id="rId25" Type="http://schemas.openxmlformats.org/officeDocument/2006/relationships/image" Target="../media/image133.png"/><Relationship Id="rId33" Type="http://schemas.openxmlformats.org/officeDocument/2006/relationships/image" Target="../media/image127.png"/><Relationship Id="rId38" Type="http://schemas.openxmlformats.org/officeDocument/2006/relationships/image" Target="../media/image126.png"/><Relationship Id="rId46" Type="http://schemas.openxmlformats.org/officeDocument/2006/relationships/image" Target="../media/image160.png"/><Relationship Id="rId59" Type="http://schemas.openxmlformats.org/officeDocument/2006/relationships/image" Target="../media/image162.png"/><Relationship Id="rId20" Type="http://schemas.openxmlformats.org/officeDocument/2006/relationships/image" Target="../media/image144.png"/><Relationship Id="rId41" Type="http://schemas.openxmlformats.org/officeDocument/2006/relationships/image" Target="../media/image170.png"/><Relationship Id="rId54" Type="http://schemas.openxmlformats.org/officeDocument/2006/relationships/image" Target="../media/image165.png"/><Relationship Id="rId62" Type="http://schemas.openxmlformats.org/officeDocument/2006/relationships/image" Target="../media/image263.png"/><Relationship Id="rId1" Type="http://schemas.openxmlformats.org/officeDocument/2006/relationships/image" Target="../media/image250.png"/><Relationship Id="rId6" Type="http://schemas.openxmlformats.org/officeDocument/2006/relationships/image" Target="../media/image253.png"/><Relationship Id="rId15" Type="http://schemas.openxmlformats.org/officeDocument/2006/relationships/image" Target="../media/image151.png"/><Relationship Id="rId23" Type="http://schemas.openxmlformats.org/officeDocument/2006/relationships/image" Target="../media/image128.png"/><Relationship Id="rId28" Type="http://schemas.openxmlformats.org/officeDocument/2006/relationships/image" Target="../media/image139.png"/><Relationship Id="rId36" Type="http://schemas.openxmlformats.org/officeDocument/2006/relationships/image" Target="../media/image125.png"/><Relationship Id="rId49" Type="http://schemas.openxmlformats.org/officeDocument/2006/relationships/image" Target="../media/image161.png"/><Relationship Id="rId57" Type="http://schemas.openxmlformats.org/officeDocument/2006/relationships/image" Target="../media/image167.png"/><Relationship Id="rId10" Type="http://schemas.openxmlformats.org/officeDocument/2006/relationships/image" Target="../media/image256.png"/><Relationship Id="rId31" Type="http://schemas.openxmlformats.org/officeDocument/2006/relationships/image" Target="../media/image137.png"/><Relationship Id="rId44" Type="http://schemas.openxmlformats.org/officeDocument/2006/relationships/image" Target="../media/image158.png"/><Relationship Id="rId52" Type="http://schemas.openxmlformats.org/officeDocument/2006/relationships/image" Target="../media/image163.png"/><Relationship Id="rId60" Type="http://schemas.openxmlformats.org/officeDocument/2006/relationships/image" Target="../media/image168.png"/><Relationship Id="rId4" Type="http://schemas.openxmlformats.org/officeDocument/2006/relationships/image" Target="../media/image141.png"/><Relationship Id="rId9" Type="http://schemas.openxmlformats.org/officeDocument/2006/relationships/image" Target="../media/image255.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4.jpg"/><Relationship Id="rId18" Type="http://schemas.openxmlformats.org/officeDocument/2006/relationships/image" Target="../media/image19.jpg"/><Relationship Id="rId26" Type="http://schemas.openxmlformats.org/officeDocument/2006/relationships/image" Target="../media/image27.jpg"/><Relationship Id="rId39" Type="http://schemas.openxmlformats.org/officeDocument/2006/relationships/image" Target="../media/image40.jpg"/><Relationship Id="rId21" Type="http://schemas.openxmlformats.org/officeDocument/2006/relationships/image" Target="../media/image22.jpg"/><Relationship Id="rId34" Type="http://schemas.openxmlformats.org/officeDocument/2006/relationships/image" Target="../media/image35.jpg"/><Relationship Id="rId42" Type="http://schemas.openxmlformats.org/officeDocument/2006/relationships/image" Target="../media/image43.jpg"/><Relationship Id="rId47" Type="http://schemas.openxmlformats.org/officeDocument/2006/relationships/image" Target="../media/image48.jpg"/><Relationship Id="rId50" Type="http://schemas.openxmlformats.org/officeDocument/2006/relationships/image" Target="../media/image51.jpg"/><Relationship Id="rId55" Type="http://schemas.openxmlformats.org/officeDocument/2006/relationships/image" Target="../media/image56.jpg"/><Relationship Id="rId7" Type="http://schemas.openxmlformats.org/officeDocument/2006/relationships/image" Target="../media/image8.jpg"/><Relationship Id="rId2" Type="http://schemas.openxmlformats.org/officeDocument/2006/relationships/image" Target="../media/image3.jpg"/><Relationship Id="rId16" Type="http://schemas.openxmlformats.org/officeDocument/2006/relationships/image" Target="../media/image17.jpg"/><Relationship Id="rId29" Type="http://schemas.openxmlformats.org/officeDocument/2006/relationships/image" Target="../media/image30.jpg"/><Relationship Id="rId11" Type="http://schemas.openxmlformats.org/officeDocument/2006/relationships/image" Target="../media/image12.jpg"/><Relationship Id="rId24" Type="http://schemas.openxmlformats.org/officeDocument/2006/relationships/image" Target="../media/image25.jpg"/><Relationship Id="rId32" Type="http://schemas.openxmlformats.org/officeDocument/2006/relationships/image" Target="../media/image33.jpg"/><Relationship Id="rId37" Type="http://schemas.openxmlformats.org/officeDocument/2006/relationships/image" Target="../media/image38.jpg"/><Relationship Id="rId40" Type="http://schemas.openxmlformats.org/officeDocument/2006/relationships/image" Target="../media/image41.jpg"/><Relationship Id="rId45" Type="http://schemas.openxmlformats.org/officeDocument/2006/relationships/image" Target="../media/image46.jpg"/><Relationship Id="rId53" Type="http://schemas.openxmlformats.org/officeDocument/2006/relationships/image" Target="../media/image54.jpg"/><Relationship Id="rId5" Type="http://schemas.openxmlformats.org/officeDocument/2006/relationships/image" Target="../media/image6.jpg"/><Relationship Id="rId10" Type="http://schemas.openxmlformats.org/officeDocument/2006/relationships/image" Target="../media/image11.jpg"/><Relationship Id="rId19" Type="http://schemas.openxmlformats.org/officeDocument/2006/relationships/image" Target="../media/image20.jpg"/><Relationship Id="rId31" Type="http://schemas.openxmlformats.org/officeDocument/2006/relationships/image" Target="../media/image32.jpg"/><Relationship Id="rId44" Type="http://schemas.openxmlformats.org/officeDocument/2006/relationships/image" Target="../media/image45.jpg"/><Relationship Id="rId52" Type="http://schemas.openxmlformats.org/officeDocument/2006/relationships/image" Target="../media/image53.jpg"/><Relationship Id="rId4" Type="http://schemas.openxmlformats.org/officeDocument/2006/relationships/image" Target="../media/image5.jpg"/><Relationship Id="rId9" Type="http://schemas.openxmlformats.org/officeDocument/2006/relationships/image" Target="../media/image10.jpg"/><Relationship Id="rId14" Type="http://schemas.openxmlformats.org/officeDocument/2006/relationships/image" Target="../media/image15.jpg"/><Relationship Id="rId22" Type="http://schemas.openxmlformats.org/officeDocument/2006/relationships/image" Target="../media/image23.jpg"/><Relationship Id="rId27" Type="http://schemas.openxmlformats.org/officeDocument/2006/relationships/image" Target="../media/image28.jpg"/><Relationship Id="rId30" Type="http://schemas.openxmlformats.org/officeDocument/2006/relationships/image" Target="../media/image31.jpg"/><Relationship Id="rId35" Type="http://schemas.openxmlformats.org/officeDocument/2006/relationships/image" Target="../media/image36.jpg"/><Relationship Id="rId43" Type="http://schemas.openxmlformats.org/officeDocument/2006/relationships/image" Target="../media/image44.jpg"/><Relationship Id="rId48" Type="http://schemas.openxmlformats.org/officeDocument/2006/relationships/image" Target="../media/image49.jpg"/><Relationship Id="rId8" Type="http://schemas.openxmlformats.org/officeDocument/2006/relationships/image" Target="../media/image9.jpg"/><Relationship Id="rId51" Type="http://schemas.openxmlformats.org/officeDocument/2006/relationships/image" Target="../media/image52.jpg"/><Relationship Id="rId3" Type="http://schemas.openxmlformats.org/officeDocument/2006/relationships/image" Target="../media/image4.jpg"/><Relationship Id="rId12" Type="http://schemas.openxmlformats.org/officeDocument/2006/relationships/image" Target="../media/image13.jpg"/><Relationship Id="rId17" Type="http://schemas.openxmlformats.org/officeDocument/2006/relationships/image" Target="../media/image18.jpg"/><Relationship Id="rId25" Type="http://schemas.openxmlformats.org/officeDocument/2006/relationships/image" Target="../media/image26.jpg"/><Relationship Id="rId33" Type="http://schemas.openxmlformats.org/officeDocument/2006/relationships/image" Target="../media/image34.jpg"/><Relationship Id="rId38" Type="http://schemas.openxmlformats.org/officeDocument/2006/relationships/image" Target="../media/image39.jpg"/><Relationship Id="rId46" Type="http://schemas.openxmlformats.org/officeDocument/2006/relationships/image" Target="../media/image47.jpg"/><Relationship Id="rId20" Type="http://schemas.openxmlformats.org/officeDocument/2006/relationships/image" Target="../media/image21.jpg"/><Relationship Id="rId41" Type="http://schemas.openxmlformats.org/officeDocument/2006/relationships/image" Target="../media/image42.jpg"/><Relationship Id="rId54" Type="http://schemas.openxmlformats.org/officeDocument/2006/relationships/image" Target="../media/image55.jpg"/><Relationship Id="rId1" Type="http://schemas.openxmlformats.org/officeDocument/2006/relationships/image" Target="../media/image2.png"/><Relationship Id="rId6" Type="http://schemas.openxmlformats.org/officeDocument/2006/relationships/image" Target="../media/image7.jpg"/><Relationship Id="rId15" Type="http://schemas.openxmlformats.org/officeDocument/2006/relationships/image" Target="../media/image16.jpg"/><Relationship Id="rId23" Type="http://schemas.openxmlformats.org/officeDocument/2006/relationships/image" Target="../media/image24.jpg"/><Relationship Id="rId28" Type="http://schemas.openxmlformats.org/officeDocument/2006/relationships/image" Target="../media/image29.jpg"/><Relationship Id="rId36" Type="http://schemas.openxmlformats.org/officeDocument/2006/relationships/image" Target="../media/image37.jpg"/><Relationship Id="rId49" Type="http://schemas.openxmlformats.org/officeDocument/2006/relationships/image" Target="../media/image50.jpg"/></Relationships>
</file>

<file path=xl/drawings/_rels/drawing3.xml.rels><?xml version="1.0" encoding="UTF-8" standalone="yes"?>
<Relationships xmlns="http://schemas.openxmlformats.org/package/2006/relationships"><Relationship Id="rId26" Type="http://schemas.openxmlformats.org/officeDocument/2006/relationships/image" Target="../media/image42.jpg"/><Relationship Id="rId21" Type="http://schemas.openxmlformats.org/officeDocument/2006/relationships/image" Target="../media/image10.jpg"/><Relationship Id="rId42" Type="http://schemas.openxmlformats.org/officeDocument/2006/relationships/image" Target="../media/image5.jpg"/><Relationship Id="rId47" Type="http://schemas.openxmlformats.org/officeDocument/2006/relationships/image" Target="../media/image95.jpg"/><Relationship Id="rId63" Type="http://schemas.openxmlformats.org/officeDocument/2006/relationships/image" Target="../media/image105.jpg"/><Relationship Id="rId68" Type="http://schemas.openxmlformats.org/officeDocument/2006/relationships/image" Target="../media/image109.jpg"/><Relationship Id="rId16" Type="http://schemas.openxmlformats.org/officeDocument/2006/relationships/image" Target="../media/image69.jpg"/><Relationship Id="rId11" Type="http://schemas.openxmlformats.org/officeDocument/2006/relationships/image" Target="../media/image66.jpg"/><Relationship Id="rId32" Type="http://schemas.openxmlformats.org/officeDocument/2006/relationships/image" Target="../media/image82.jpg"/><Relationship Id="rId37" Type="http://schemas.openxmlformats.org/officeDocument/2006/relationships/image" Target="../media/image87.jpg"/><Relationship Id="rId53" Type="http://schemas.openxmlformats.org/officeDocument/2006/relationships/image" Target="../media/image99.jpg"/><Relationship Id="rId58" Type="http://schemas.openxmlformats.org/officeDocument/2006/relationships/image" Target="../media/image15.jpg"/><Relationship Id="rId74" Type="http://schemas.openxmlformats.org/officeDocument/2006/relationships/image" Target="../media/image115.jpg"/><Relationship Id="rId79" Type="http://schemas.openxmlformats.org/officeDocument/2006/relationships/image" Target="../media/image120.jpg"/><Relationship Id="rId5" Type="http://schemas.openxmlformats.org/officeDocument/2006/relationships/image" Target="../media/image44.jpg"/><Relationship Id="rId61" Type="http://schemas.openxmlformats.org/officeDocument/2006/relationships/image" Target="../media/image103.jpg"/><Relationship Id="rId82" Type="http://schemas.openxmlformats.org/officeDocument/2006/relationships/image" Target="../media/image123.jpg"/><Relationship Id="rId19" Type="http://schemas.openxmlformats.org/officeDocument/2006/relationships/image" Target="../media/image71.jpg"/><Relationship Id="rId14" Type="http://schemas.openxmlformats.org/officeDocument/2006/relationships/image" Target="../media/image68.jpg"/><Relationship Id="rId22" Type="http://schemas.openxmlformats.org/officeDocument/2006/relationships/image" Target="../media/image73.jpg"/><Relationship Id="rId27" Type="http://schemas.openxmlformats.org/officeDocument/2006/relationships/image" Target="../media/image77.jpg"/><Relationship Id="rId30" Type="http://schemas.openxmlformats.org/officeDocument/2006/relationships/image" Target="../media/image80.jpg"/><Relationship Id="rId35" Type="http://schemas.openxmlformats.org/officeDocument/2006/relationships/image" Target="../media/image85.jpg"/><Relationship Id="rId43" Type="http://schemas.openxmlformats.org/officeDocument/2006/relationships/image" Target="../media/image91.jpg"/><Relationship Id="rId48" Type="http://schemas.openxmlformats.org/officeDocument/2006/relationships/image" Target="../media/image96.jpg"/><Relationship Id="rId56" Type="http://schemas.openxmlformats.org/officeDocument/2006/relationships/image" Target="../media/image24.jpg"/><Relationship Id="rId64" Type="http://schemas.openxmlformats.org/officeDocument/2006/relationships/image" Target="../media/image106.jpg"/><Relationship Id="rId69" Type="http://schemas.openxmlformats.org/officeDocument/2006/relationships/image" Target="../media/image110.jpg"/><Relationship Id="rId77" Type="http://schemas.openxmlformats.org/officeDocument/2006/relationships/image" Target="../media/image118.jpg"/><Relationship Id="rId8" Type="http://schemas.openxmlformats.org/officeDocument/2006/relationships/image" Target="../media/image63.jpg"/><Relationship Id="rId51" Type="http://schemas.openxmlformats.org/officeDocument/2006/relationships/image" Target="../media/image98.jpg"/><Relationship Id="rId72" Type="http://schemas.openxmlformats.org/officeDocument/2006/relationships/image" Target="../media/image113.jpg"/><Relationship Id="rId80" Type="http://schemas.openxmlformats.org/officeDocument/2006/relationships/image" Target="../media/image121.jpg"/><Relationship Id="rId3" Type="http://schemas.openxmlformats.org/officeDocument/2006/relationships/image" Target="../media/image59.jpg"/><Relationship Id="rId12" Type="http://schemas.openxmlformats.org/officeDocument/2006/relationships/image" Target="../media/image67.jpg"/><Relationship Id="rId17" Type="http://schemas.openxmlformats.org/officeDocument/2006/relationships/image" Target="../media/image70.jpg"/><Relationship Id="rId25" Type="http://schemas.openxmlformats.org/officeDocument/2006/relationships/image" Target="../media/image76.jpg"/><Relationship Id="rId33" Type="http://schemas.openxmlformats.org/officeDocument/2006/relationships/image" Target="../media/image83.jpg"/><Relationship Id="rId38" Type="http://schemas.openxmlformats.org/officeDocument/2006/relationships/image" Target="../media/image2.png"/><Relationship Id="rId46" Type="http://schemas.openxmlformats.org/officeDocument/2006/relationships/image" Target="../media/image94.jpg"/><Relationship Id="rId59" Type="http://schemas.openxmlformats.org/officeDocument/2006/relationships/image" Target="../media/image101.jpg"/><Relationship Id="rId67" Type="http://schemas.openxmlformats.org/officeDocument/2006/relationships/image" Target="../media/image6.jpg"/><Relationship Id="rId20" Type="http://schemas.openxmlformats.org/officeDocument/2006/relationships/image" Target="../media/image72.jpg"/><Relationship Id="rId41" Type="http://schemas.openxmlformats.org/officeDocument/2006/relationships/image" Target="../media/image90.jpg"/><Relationship Id="rId54" Type="http://schemas.openxmlformats.org/officeDocument/2006/relationships/image" Target="../media/image50.jpg"/><Relationship Id="rId62" Type="http://schemas.openxmlformats.org/officeDocument/2006/relationships/image" Target="../media/image104.jpg"/><Relationship Id="rId70" Type="http://schemas.openxmlformats.org/officeDocument/2006/relationships/image" Target="../media/image111.jpg"/><Relationship Id="rId75" Type="http://schemas.openxmlformats.org/officeDocument/2006/relationships/image" Target="../media/image116.jpg"/><Relationship Id="rId1" Type="http://schemas.openxmlformats.org/officeDocument/2006/relationships/image" Target="../media/image57.jpg"/><Relationship Id="rId6" Type="http://schemas.openxmlformats.org/officeDocument/2006/relationships/image" Target="../media/image61.jpg"/><Relationship Id="rId15" Type="http://schemas.openxmlformats.org/officeDocument/2006/relationships/image" Target="../media/image35.jpg"/><Relationship Id="rId23" Type="http://schemas.openxmlformats.org/officeDocument/2006/relationships/image" Target="../media/image74.jpg"/><Relationship Id="rId28" Type="http://schemas.openxmlformats.org/officeDocument/2006/relationships/image" Target="../media/image78.jpg"/><Relationship Id="rId36" Type="http://schemas.openxmlformats.org/officeDocument/2006/relationships/image" Target="../media/image86.jpg"/><Relationship Id="rId49" Type="http://schemas.openxmlformats.org/officeDocument/2006/relationships/image" Target="../media/image97.jpg"/><Relationship Id="rId57" Type="http://schemas.openxmlformats.org/officeDocument/2006/relationships/image" Target="../media/image14.jpg"/><Relationship Id="rId10" Type="http://schemas.openxmlformats.org/officeDocument/2006/relationships/image" Target="../media/image65.jpg"/><Relationship Id="rId31" Type="http://schemas.openxmlformats.org/officeDocument/2006/relationships/image" Target="../media/image81.jpg"/><Relationship Id="rId44" Type="http://schemas.openxmlformats.org/officeDocument/2006/relationships/image" Target="../media/image92.jpg"/><Relationship Id="rId52" Type="http://schemas.openxmlformats.org/officeDocument/2006/relationships/image" Target="../media/image56.jpg"/><Relationship Id="rId60" Type="http://schemas.openxmlformats.org/officeDocument/2006/relationships/image" Target="../media/image102.jpg"/><Relationship Id="rId65" Type="http://schemas.openxmlformats.org/officeDocument/2006/relationships/image" Target="../media/image107.jpg"/><Relationship Id="rId73" Type="http://schemas.openxmlformats.org/officeDocument/2006/relationships/image" Target="../media/image114.jpg"/><Relationship Id="rId78" Type="http://schemas.openxmlformats.org/officeDocument/2006/relationships/image" Target="../media/image119.jpg"/><Relationship Id="rId81" Type="http://schemas.openxmlformats.org/officeDocument/2006/relationships/image" Target="../media/image122.jpg"/><Relationship Id="rId4" Type="http://schemas.openxmlformats.org/officeDocument/2006/relationships/image" Target="../media/image60.jpg"/><Relationship Id="rId9" Type="http://schemas.openxmlformats.org/officeDocument/2006/relationships/image" Target="../media/image64.jpg"/><Relationship Id="rId13" Type="http://schemas.openxmlformats.org/officeDocument/2006/relationships/image" Target="../media/image16.jpg"/><Relationship Id="rId18" Type="http://schemas.openxmlformats.org/officeDocument/2006/relationships/image" Target="../media/image55.jpg"/><Relationship Id="rId39" Type="http://schemas.openxmlformats.org/officeDocument/2006/relationships/image" Target="../media/image88.jpg"/><Relationship Id="rId34" Type="http://schemas.openxmlformats.org/officeDocument/2006/relationships/image" Target="../media/image84.jpg"/><Relationship Id="rId50" Type="http://schemas.openxmlformats.org/officeDocument/2006/relationships/image" Target="../media/image20.jpg"/><Relationship Id="rId55" Type="http://schemas.openxmlformats.org/officeDocument/2006/relationships/image" Target="../media/image100.jpg"/><Relationship Id="rId76" Type="http://schemas.openxmlformats.org/officeDocument/2006/relationships/image" Target="../media/image117.jpg"/><Relationship Id="rId7" Type="http://schemas.openxmlformats.org/officeDocument/2006/relationships/image" Target="../media/image62.jpg"/><Relationship Id="rId71" Type="http://schemas.openxmlformats.org/officeDocument/2006/relationships/image" Target="../media/image112.jpg"/><Relationship Id="rId2" Type="http://schemas.openxmlformats.org/officeDocument/2006/relationships/image" Target="../media/image58.png"/><Relationship Id="rId29" Type="http://schemas.openxmlformats.org/officeDocument/2006/relationships/image" Target="../media/image79.jpg"/><Relationship Id="rId24" Type="http://schemas.openxmlformats.org/officeDocument/2006/relationships/image" Target="../media/image75.jpg"/><Relationship Id="rId40" Type="http://schemas.openxmlformats.org/officeDocument/2006/relationships/image" Target="../media/image89.jpg"/><Relationship Id="rId45" Type="http://schemas.openxmlformats.org/officeDocument/2006/relationships/image" Target="../media/image93.jpg"/><Relationship Id="rId66" Type="http://schemas.openxmlformats.org/officeDocument/2006/relationships/image" Target="../media/image108.jpg"/></Relationships>
</file>

<file path=xl/drawings/_rels/drawing4.xml.rels><?xml version="1.0" encoding="UTF-8" standalone="yes"?>
<Relationships xmlns="http://schemas.openxmlformats.org/package/2006/relationships"><Relationship Id="rId13" Type="http://schemas.openxmlformats.org/officeDocument/2006/relationships/image" Target="../media/image136.png"/><Relationship Id="rId18" Type="http://schemas.openxmlformats.org/officeDocument/2006/relationships/image" Target="../media/image141.png"/><Relationship Id="rId26" Type="http://schemas.openxmlformats.org/officeDocument/2006/relationships/image" Target="../media/image148.png"/><Relationship Id="rId39" Type="http://schemas.openxmlformats.org/officeDocument/2006/relationships/image" Target="../media/image160.png"/><Relationship Id="rId21" Type="http://schemas.openxmlformats.org/officeDocument/2006/relationships/image" Target="../media/image143.png"/><Relationship Id="rId34" Type="http://schemas.openxmlformats.org/officeDocument/2006/relationships/image" Target="../media/image155.png"/><Relationship Id="rId42" Type="http://schemas.openxmlformats.org/officeDocument/2006/relationships/image" Target="../media/image163.png"/><Relationship Id="rId47" Type="http://schemas.openxmlformats.org/officeDocument/2006/relationships/image" Target="../media/image168.png"/><Relationship Id="rId50" Type="http://schemas.openxmlformats.org/officeDocument/2006/relationships/image" Target="../media/image171.png"/><Relationship Id="rId7" Type="http://schemas.openxmlformats.org/officeDocument/2006/relationships/image" Target="../media/image130.png"/><Relationship Id="rId2" Type="http://schemas.openxmlformats.org/officeDocument/2006/relationships/image" Target="../media/image125.png"/><Relationship Id="rId16" Type="http://schemas.openxmlformats.org/officeDocument/2006/relationships/image" Target="../media/image139.png"/><Relationship Id="rId29" Type="http://schemas.openxmlformats.org/officeDocument/2006/relationships/image" Target="../media/image151.png"/><Relationship Id="rId11" Type="http://schemas.openxmlformats.org/officeDocument/2006/relationships/image" Target="../media/image134.png"/><Relationship Id="rId24" Type="http://schemas.openxmlformats.org/officeDocument/2006/relationships/image" Target="../media/image146.png"/><Relationship Id="rId32" Type="http://schemas.openxmlformats.org/officeDocument/2006/relationships/image" Target="../media/image153.png"/><Relationship Id="rId37" Type="http://schemas.openxmlformats.org/officeDocument/2006/relationships/image" Target="../media/image158.png"/><Relationship Id="rId40" Type="http://schemas.openxmlformats.org/officeDocument/2006/relationships/image" Target="../media/image161.png"/><Relationship Id="rId45" Type="http://schemas.openxmlformats.org/officeDocument/2006/relationships/image" Target="../media/image166.png"/><Relationship Id="rId5" Type="http://schemas.openxmlformats.org/officeDocument/2006/relationships/image" Target="../media/image128.png"/><Relationship Id="rId15" Type="http://schemas.openxmlformats.org/officeDocument/2006/relationships/image" Target="../media/image138.png"/><Relationship Id="rId23" Type="http://schemas.openxmlformats.org/officeDocument/2006/relationships/image" Target="../media/image145.png"/><Relationship Id="rId28" Type="http://schemas.openxmlformats.org/officeDocument/2006/relationships/image" Target="../media/image150.png"/><Relationship Id="rId36" Type="http://schemas.openxmlformats.org/officeDocument/2006/relationships/image" Target="../media/image157.png"/><Relationship Id="rId49" Type="http://schemas.openxmlformats.org/officeDocument/2006/relationships/image" Target="../media/image170.png"/><Relationship Id="rId10" Type="http://schemas.openxmlformats.org/officeDocument/2006/relationships/image" Target="../media/image133.png"/><Relationship Id="rId19" Type="http://schemas.openxmlformats.org/officeDocument/2006/relationships/image" Target="../media/image45.jpg"/><Relationship Id="rId31" Type="http://schemas.openxmlformats.org/officeDocument/2006/relationships/image" Target="../media/image152.png"/><Relationship Id="rId44" Type="http://schemas.openxmlformats.org/officeDocument/2006/relationships/image" Target="../media/image165.png"/><Relationship Id="rId4" Type="http://schemas.openxmlformats.org/officeDocument/2006/relationships/image" Target="../media/image127.png"/><Relationship Id="rId9" Type="http://schemas.openxmlformats.org/officeDocument/2006/relationships/image" Target="../media/image132.png"/><Relationship Id="rId14" Type="http://schemas.openxmlformats.org/officeDocument/2006/relationships/image" Target="../media/image137.png"/><Relationship Id="rId22" Type="http://schemas.openxmlformats.org/officeDocument/2006/relationships/image" Target="../media/image144.png"/><Relationship Id="rId27" Type="http://schemas.openxmlformats.org/officeDocument/2006/relationships/image" Target="../media/image149.png"/><Relationship Id="rId30" Type="http://schemas.openxmlformats.org/officeDocument/2006/relationships/image" Target="../media/image1.png"/><Relationship Id="rId35" Type="http://schemas.openxmlformats.org/officeDocument/2006/relationships/image" Target="../media/image156.png"/><Relationship Id="rId43" Type="http://schemas.openxmlformats.org/officeDocument/2006/relationships/image" Target="../media/image164.png"/><Relationship Id="rId48" Type="http://schemas.openxmlformats.org/officeDocument/2006/relationships/image" Target="../media/image169.png"/><Relationship Id="rId8" Type="http://schemas.openxmlformats.org/officeDocument/2006/relationships/image" Target="../media/image131.png"/><Relationship Id="rId3" Type="http://schemas.openxmlformats.org/officeDocument/2006/relationships/image" Target="../media/image126.png"/><Relationship Id="rId12" Type="http://schemas.openxmlformats.org/officeDocument/2006/relationships/image" Target="../media/image135.png"/><Relationship Id="rId17" Type="http://schemas.openxmlformats.org/officeDocument/2006/relationships/image" Target="../media/image140.png"/><Relationship Id="rId25" Type="http://schemas.openxmlformats.org/officeDocument/2006/relationships/image" Target="../media/image147.jpg"/><Relationship Id="rId33" Type="http://schemas.openxmlformats.org/officeDocument/2006/relationships/image" Target="../media/image154.png"/><Relationship Id="rId38" Type="http://schemas.openxmlformats.org/officeDocument/2006/relationships/image" Target="../media/image159.png"/><Relationship Id="rId46" Type="http://schemas.openxmlformats.org/officeDocument/2006/relationships/image" Target="../media/image167.png"/><Relationship Id="rId20" Type="http://schemas.openxmlformats.org/officeDocument/2006/relationships/image" Target="../media/image142.png"/><Relationship Id="rId41" Type="http://schemas.openxmlformats.org/officeDocument/2006/relationships/image" Target="../media/image162.png"/><Relationship Id="rId1" Type="http://schemas.openxmlformats.org/officeDocument/2006/relationships/image" Target="../media/image124.png"/><Relationship Id="rId6" Type="http://schemas.openxmlformats.org/officeDocument/2006/relationships/image" Target="../media/image129.png"/></Relationships>
</file>

<file path=xl/drawings/_rels/drawing5.xml.rels><?xml version="1.0" encoding="UTF-8" standalone="yes"?>
<Relationships xmlns="http://schemas.openxmlformats.org/package/2006/relationships"><Relationship Id="rId13" Type="http://schemas.openxmlformats.org/officeDocument/2006/relationships/image" Target="../media/image177.jpg"/><Relationship Id="rId18" Type="http://schemas.openxmlformats.org/officeDocument/2006/relationships/image" Target="../media/image24.jpg"/><Relationship Id="rId26" Type="http://schemas.openxmlformats.org/officeDocument/2006/relationships/image" Target="../media/image183.jpg"/><Relationship Id="rId39" Type="http://schemas.openxmlformats.org/officeDocument/2006/relationships/image" Target="../media/image190.jpg"/><Relationship Id="rId21" Type="http://schemas.openxmlformats.org/officeDocument/2006/relationships/image" Target="../media/image180.png"/><Relationship Id="rId34" Type="http://schemas.openxmlformats.org/officeDocument/2006/relationships/image" Target="../media/image20.jpg"/><Relationship Id="rId42" Type="http://schemas.openxmlformats.org/officeDocument/2006/relationships/image" Target="../media/image108.jpg"/><Relationship Id="rId47" Type="http://schemas.openxmlformats.org/officeDocument/2006/relationships/image" Target="../media/image10.jpg"/><Relationship Id="rId50" Type="http://schemas.openxmlformats.org/officeDocument/2006/relationships/image" Target="../media/image42.jpg"/><Relationship Id="rId55" Type="http://schemas.openxmlformats.org/officeDocument/2006/relationships/image" Target="../media/image196.png"/><Relationship Id="rId7" Type="http://schemas.openxmlformats.org/officeDocument/2006/relationships/image" Target="../media/image6.jpg"/><Relationship Id="rId2" Type="http://schemas.openxmlformats.org/officeDocument/2006/relationships/image" Target="../media/image153.png"/><Relationship Id="rId16" Type="http://schemas.openxmlformats.org/officeDocument/2006/relationships/image" Target="../media/image18.jpg"/><Relationship Id="rId29" Type="http://schemas.openxmlformats.org/officeDocument/2006/relationships/image" Target="../media/image30.jpg"/><Relationship Id="rId11" Type="http://schemas.openxmlformats.org/officeDocument/2006/relationships/image" Target="../media/image160.png"/><Relationship Id="rId24" Type="http://schemas.openxmlformats.org/officeDocument/2006/relationships/image" Target="../media/image19.jpg"/><Relationship Id="rId32" Type="http://schemas.openxmlformats.org/officeDocument/2006/relationships/image" Target="../media/image186.png"/><Relationship Id="rId37" Type="http://schemas.openxmlformats.org/officeDocument/2006/relationships/image" Target="../media/image188.png"/><Relationship Id="rId40" Type="http://schemas.openxmlformats.org/officeDocument/2006/relationships/image" Target="../media/image191.jpg"/><Relationship Id="rId45" Type="http://schemas.openxmlformats.org/officeDocument/2006/relationships/image" Target="../media/image36.jpg"/><Relationship Id="rId53" Type="http://schemas.openxmlformats.org/officeDocument/2006/relationships/image" Target="../media/image195.jpg"/><Relationship Id="rId5" Type="http://schemas.openxmlformats.org/officeDocument/2006/relationships/image" Target="../media/image82.jpg"/><Relationship Id="rId19" Type="http://schemas.openxmlformats.org/officeDocument/2006/relationships/image" Target="../media/image45.jpg"/><Relationship Id="rId4" Type="http://schemas.openxmlformats.org/officeDocument/2006/relationships/image" Target="../media/image14.jpg"/><Relationship Id="rId9" Type="http://schemas.openxmlformats.org/officeDocument/2006/relationships/image" Target="../media/image2.png"/><Relationship Id="rId14" Type="http://schemas.openxmlformats.org/officeDocument/2006/relationships/image" Target="../media/image40.jpg"/><Relationship Id="rId22" Type="http://schemas.openxmlformats.org/officeDocument/2006/relationships/image" Target="../media/image54.jpg"/><Relationship Id="rId27" Type="http://schemas.openxmlformats.org/officeDocument/2006/relationships/image" Target="../media/image154.png"/><Relationship Id="rId30" Type="http://schemas.openxmlformats.org/officeDocument/2006/relationships/image" Target="../media/image184.png"/><Relationship Id="rId35" Type="http://schemas.openxmlformats.org/officeDocument/2006/relationships/image" Target="../media/image187.jpg"/><Relationship Id="rId43" Type="http://schemas.openxmlformats.org/officeDocument/2006/relationships/image" Target="../media/image192.jpg"/><Relationship Id="rId48" Type="http://schemas.openxmlformats.org/officeDocument/2006/relationships/image" Target="../media/image193.jpg"/><Relationship Id="rId56" Type="http://schemas.openxmlformats.org/officeDocument/2006/relationships/image" Target="../media/image38.jpg"/><Relationship Id="rId8" Type="http://schemas.openxmlformats.org/officeDocument/2006/relationships/image" Target="../media/image16.jpg"/><Relationship Id="rId51" Type="http://schemas.openxmlformats.org/officeDocument/2006/relationships/image" Target="../media/image77.jpg"/><Relationship Id="rId3" Type="http://schemas.openxmlformats.org/officeDocument/2006/relationships/image" Target="../media/image173.png"/><Relationship Id="rId12" Type="http://schemas.openxmlformats.org/officeDocument/2006/relationships/image" Target="../media/image176.jpg"/><Relationship Id="rId17" Type="http://schemas.openxmlformats.org/officeDocument/2006/relationships/image" Target="../media/image179.jpg"/><Relationship Id="rId25" Type="http://schemas.openxmlformats.org/officeDocument/2006/relationships/image" Target="../media/image182.jpg"/><Relationship Id="rId33" Type="http://schemas.openxmlformats.org/officeDocument/2006/relationships/image" Target="../media/image23.jpg"/><Relationship Id="rId38" Type="http://schemas.openxmlformats.org/officeDocument/2006/relationships/image" Target="../media/image189.png"/><Relationship Id="rId46" Type="http://schemas.openxmlformats.org/officeDocument/2006/relationships/image" Target="../media/image50.jpg"/><Relationship Id="rId20" Type="http://schemas.openxmlformats.org/officeDocument/2006/relationships/image" Target="../media/image162.png"/><Relationship Id="rId41" Type="http://schemas.openxmlformats.org/officeDocument/2006/relationships/image" Target="../media/image5.jpg"/><Relationship Id="rId54" Type="http://schemas.openxmlformats.org/officeDocument/2006/relationships/image" Target="../media/image15.jpg"/><Relationship Id="rId1" Type="http://schemas.openxmlformats.org/officeDocument/2006/relationships/image" Target="../media/image172.jpg"/><Relationship Id="rId6" Type="http://schemas.openxmlformats.org/officeDocument/2006/relationships/image" Target="../media/image174.png"/><Relationship Id="rId15" Type="http://schemas.openxmlformats.org/officeDocument/2006/relationships/image" Target="../media/image178.png"/><Relationship Id="rId23" Type="http://schemas.openxmlformats.org/officeDocument/2006/relationships/image" Target="../media/image181.jpg"/><Relationship Id="rId28" Type="http://schemas.openxmlformats.org/officeDocument/2006/relationships/image" Target="../media/image55.jpg"/><Relationship Id="rId36" Type="http://schemas.openxmlformats.org/officeDocument/2006/relationships/image" Target="../media/image12.jpg"/><Relationship Id="rId49" Type="http://schemas.openxmlformats.org/officeDocument/2006/relationships/image" Target="../media/image167.png"/><Relationship Id="rId57" Type="http://schemas.openxmlformats.org/officeDocument/2006/relationships/image" Target="../media/image197.jpg"/><Relationship Id="rId10" Type="http://schemas.openxmlformats.org/officeDocument/2006/relationships/image" Target="../media/image175.jpg"/><Relationship Id="rId31" Type="http://schemas.openxmlformats.org/officeDocument/2006/relationships/image" Target="../media/image185.jpg"/><Relationship Id="rId44" Type="http://schemas.openxmlformats.org/officeDocument/2006/relationships/image" Target="../media/image114.jpg"/><Relationship Id="rId52" Type="http://schemas.openxmlformats.org/officeDocument/2006/relationships/image" Target="../media/image194.jpg"/></Relationships>
</file>

<file path=xl/drawings/_rels/drawing6.xml.rels><?xml version="1.0" encoding="UTF-8" standalone="yes"?>
<Relationships xmlns="http://schemas.openxmlformats.org/package/2006/relationships"><Relationship Id="rId26" Type="http://schemas.openxmlformats.org/officeDocument/2006/relationships/image" Target="../media/image110.jpg"/><Relationship Id="rId21" Type="http://schemas.openxmlformats.org/officeDocument/2006/relationships/image" Target="../media/image201.jpg"/><Relationship Id="rId42" Type="http://schemas.openxmlformats.org/officeDocument/2006/relationships/image" Target="../media/image118.jpg"/><Relationship Id="rId47" Type="http://schemas.openxmlformats.org/officeDocument/2006/relationships/image" Target="../media/image97.jpg"/><Relationship Id="rId63" Type="http://schemas.openxmlformats.org/officeDocument/2006/relationships/image" Target="../media/image122.jpg"/><Relationship Id="rId68" Type="http://schemas.openxmlformats.org/officeDocument/2006/relationships/image" Target="../media/image216.jpg"/><Relationship Id="rId84" Type="http://schemas.openxmlformats.org/officeDocument/2006/relationships/image" Target="../media/image227.jpg"/><Relationship Id="rId89" Type="http://schemas.openxmlformats.org/officeDocument/2006/relationships/image" Target="../media/image16.jpg"/><Relationship Id="rId16" Type="http://schemas.openxmlformats.org/officeDocument/2006/relationships/image" Target="../media/image50.jpg"/><Relationship Id="rId11" Type="http://schemas.openxmlformats.org/officeDocument/2006/relationships/image" Target="../media/image67.jpg"/><Relationship Id="rId32" Type="http://schemas.openxmlformats.org/officeDocument/2006/relationships/image" Target="../media/image202.jpg"/><Relationship Id="rId37" Type="http://schemas.openxmlformats.org/officeDocument/2006/relationships/image" Target="../media/image108.jpg"/><Relationship Id="rId53" Type="http://schemas.openxmlformats.org/officeDocument/2006/relationships/image" Target="../media/image208.jpg"/><Relationship Id="rId58" Type="http://schemas.openxmlformats.org/officeDocument/2006/relationships/image" Target="../media/image212.jpg"/><Relationship Id="rId74" Type="http://schemas.openxmlformats.org/officeDocument/2006/relationships/image" Target="../media/image221.jpg"/><Relationship Id="rId79" Type="http://schemas.openxmlformats.org/officeDocument/2006/relationships/image" Target="../media/image103.jpg"/><Relationship Id="rId102" Type="http://schemas.openxmlformats.org/officeDocument/2006/relationships/image" Target="../media/image235.png"/><Relationship Id="rId5" Type="http://schemas.openxmlformats.org/officeDocument/2006/relationships/image" Target="../media/image14.jpg"/><Relationship Id="rId90" Type="http://schemas.openxmlformats.org/officeDocument/2006/relationships/image" Target="../media/image68.jpg"/><Relationship Id="rId95" Type="http://schemas.openxmlformats.org/officeDocument/2006/relationships/image" Target="../media/image55.jpg"/><Relationship Id="rId22" Type="http://schemas.openxmlformats.org/officeDocument/2006/relationships/image" Target="../media/image117.jpg"/><Relationship Id="rId27" Type="http://schemas.openxmlformats.org/officeDocument/2006/relationships/image" Target="../media/image24.jpg"/><Relationship Id="rId43" Type="http://schemas.openxmlformats.org/officeDocument/2006/relationships/image" Target="../media/image6.jpg"/><Relationship Id="rId48" Type="http://schemas.openxmlformats.org/officeDocument/2006/relationships/image" Target="../media/image56.jpg"/><Relationship Id="rId64" Type="http://schemas.openxmlformats.org/officeDocument/2006/relationships/image" Target="../media/image79.jpg"/><Relationship Id="rId69" Type="http://schemas.openxmlformats.org/officeDocument/2006/relationships/image" Target="../media/image217.jpg"/><Relationship Id="rId80" Type="http://schemas.openxmlformats.org/officeDocument/2006/relationships/image" Target="../media/image58.png"/><Relationship Id="rId85" Type="http://schemas.openxmlformats.org/officeDocument/2006/relationships/image" Target="../media/image228.jpg"/><Relationship Id="rId12" Type="http://schemas.openxmlformats.org/officeDocument/2006/relationships/image" Target="../media/image185.jpg"/><Relationship Id="rId17" Type="http://schemas.openxmlformats.org/officeDocument/2006/relationships/image" Target="../media/image57.jpg"/><Relationship Id="rId25" Type="http://schemas.openxmlformats.org/officeDocument/2006/relationships/image" Target="../media/image5.jpg"/><Relationship Id="rId33" Type="http://schemas.openxmlformats.org/officeDocument/2006/relationships/image" Target="../media/image203.jpg"/><Relationship Id="rId38" Type="http://schemas.openxmlformats.org/officeDocument/2006/relationships/image" Target="../media/image205.jpg"/><Relationship Id="rId46" Type="http://schemas.openxmlformats.org/officeDocument/2006/relationships/image" Target="../media/image80.jpg"/><Relationship Id="rId59" Type="http://schemas.openxmlformats.org/officeDocument/2006/relationships/image" Target="../media/image213.jpg"/><Relationship Id="rId67" Type="http://schemas.openxmlformats.org/officeDocument/2006/relationships/image" Target="../media/image116.jpg"/><Relationship Id="rId103" Type="http://schemas.openxmlformats.org/officeDocument/2006/relationships/image" Target="../media/image236.png"/><Relationship Id="rId20" Type="http://schemas.openxmlformats.org/officeDocument/2006/relationships/image" Target="../media/image114.jpg"/><Relationship Id="rId41" Type="http://schemas.openxmlformats.org/officeDocument/2006/relationships/image" Target="../media/image112.jpg"/><Relationship Id="rId54" Type="http://schemas.openxmlformats.org/officeDocument/2006/relationships/image" Target="../media/image209.jpg"/><Relationship Id="rId62" Type="http://schemas.openxmlformats.org/officeDocument/2006/relationships/image" Target="../media/image195.jpg"/><Relationship Id="rId70" Type="http://schemas.openxmlformats.org/officeDocument/2006/relationships/image" Target="../media/image218.jpg"/><Relationship Id="rId75" Type="http://schemas.openxmlformats.org/officeDocument/2006/relationships/image" Target="../media/image83.jpg"/><Relationship Id="rId83" Type="http://schemas.openxmlformats.org/officeDocument/2006/relationships/image" Target="../media/image226.jpg"/><Relationship Id="rId88" Type="http://schemas.openxmlformats.org/officeDocument/2006/relationships/image" Target="../media/image230.jpg"/><Relationship Id="rId91" Type="http://schemas.openxmlformats.org/officeDocument/2006/relationships/image" Target="../media/image121.jpg"/><Relationship Id="rId96" Type="http://schemas.openxmlformats.org/officeDocument/2006/relationships/image" Target="../media/image152.png"/><Relationship Id="rId1" Type="http://schemas.openxmlformats.org/officeDocument/2006/relationships/image" Target="../media/image198.jpg"/><Relationship Id="rId6" Type="http://schemas.openxmlformats.org/officeDocument/2006/relationships/image" Target="../media/image33.jpg"/><Relationship Id="rId15" Type="http://schemas.openxmlformats.org/officeDocument/2006/relationships/image" Target="../media/image89.jpg"/><Relationship Id="rId23" Type="http://schemas.openxmlformats.org/officeDocument/2006/relationships/image" Target="../media/image44.jpg"/><Relationship Id="rId28" Type="http://schemas.openxmlformats.org/officeDocument/2006/relationships/image" Target="../media/image30.jpg"/><Relationship Id="rId36" Type="http://schemas.openxmlformats.org/officeDocument/2006/relationships/image" Target="../media/image85.jpg"/><Relationship Id="rId49" Type="http://schemas.openxmlformats.org/officeDocument/2006/relationships/image" Target="../media/image99.jpg"/><Relationship Id="rId57" Type="http://schemas.openxmlformats.org/officeDocument/2006/relationships/image" Target="../media/image47.jpg"/><Relationship Id="rId10" Type="http://schemas.openxmlformats.org/officeDocument/2006/relationships/image" Target="../media/image42.jpg"/><Relationship Id="rId31" Type="http://schemas.openxmlformats.org/officeDocument/2006/relationships/image" Target="../media/image95.jpg"/><Relationship Id="rId44" Type="http://schemas.openxmlformats.org/officeDocument/2006/relationships/image" Target="../media/image206.jpg"/><Relationship Id="rId52" Type="http://schemas.openxmlformats.org/officeDocument/2006/relationships/image" Target="../media/image34.jpg"/><Relationship Id="rId60" Type="http://schemas.openxmlformats.org/officeDocument/2006/relationships/image" Target="../media/image194.jpg"/><Relationship Id="rId65" Type="http://schemas.openxmlformats.org/officeDocument/2006/relationships/image" Target="../media/image197.jpg"/><Relationship Id="rId73" Type="http://schemas.openxmlformats.org/officeDocument/2006/relationships/image" Target="../media/image220.jpg"/><Relationship Id="rId78" Type="http://schemas.openxmlformats.org/officeDocument/2006/relationships/image" Target="../media/image223.jpg"/><Relationship Id="rId81" Type="http://schemas.openxmlformats.org/officeDocument/2006/relationships/image" Target="../media/image224.jpg"/><Relationship Id="rId86" Type="http://schemas.openxmlformats.org/officeDocument/2006/relationships/image" Target="../media/image229.jpg"/><Relationship Id="rId94" Type="http://schemas.openxmlformats.org/officeDocument/2006/relationships/image" Target="../media/image123.jpg"/><Relationship Id="rId99" Type="http://schemas.openxmlformats.org/officeDocument/2006/relationships/image" Target="../media/image144.png"/><Relationship Id="rId101" Type="http://schemas.openxmlformats.org/officeDocument/2006/relationships/image" Target="../media/image234.png"/><Relationship Id="rId4" Type="http://schemas.openxmlformats.org/officeDocument/2006/relationships/image" Target="../media/image88.jpg"/><Relationship Id="rId9" Type="http://schemas.openxmlformats.org/officeDocument/2006/relationships/image" Target="../media/image40.jpg"/><Relationship Id="rId13" Type="http://schemas.openxmlformats.org/officeDocument/2006/relationships/image" Target="../media/image66.jpg"/><Relationship Id="rId18" Type="http://schemas.openxmlformats.org/officeDocument/2006/relationships/image" Target="../media/image61.jpg"/><Relationship Id="rId39" Type="http://schemas.openxmlformats.org/officeDocument/2006/relationships/image" Target="../media/image96.jpg"/><Relationship Id="rId34" Type="http://schemas.openxmlformats.org/officeDocument/2006/relationships/image" Target="../media/image204.jpg"/><Relationship Id="rId50" Type="http://schemas.openxmlformats.org/officeDocument/2006/relationships/image" Target="../media/image207.jpg"/><Relationship Id="rId55" Type="http://schemas.openxmlformats.org/officeDocument/2006/relationships/image" Target="../media/image210.jpg"/><Relationship Id="rId76" Type="http://schemas.openxmlformats.org/officeDocument/2006/relationships/image" Target="../media/image102.jpg"/><Relationship Id="rId97" Type="http://schemas.openxmlformats.org/officeDocument/2006/relationships/image" Target="../media/image231.png"/><Relationship Id="rId7" Type="http://schemas.openxmlformats.org/officeDocument/2006/relationships/image" Target="../media/image18.jpg"/><Relationship Id="rId71" Type="http://schemas.openxmlformats.org/officeDocument/2006/relationships/image" Target="../media/image219.jpg"/><Relationship Id="rId92" Type="http://schemas.openxmlformats.org/officeDocument/2006/relationships/image" Target="../media/image150.png"/><Relationship Id="rId2" Type="http://schemas.openxmlformats.org/officeDocument/2006/relationships/image" Target="../media/image199.png"/><Relationship Id="rId29" Type="http://schemas.openxmlformats.org/officeDocument/2006/relationships/image" Target="../media/image54.jpg"/><Relationship Id="rId24" Type="http://schemas.openxmlformats.org/officeDocument/2006/relationships/image" Target="../media/image72.jpg"/><Relationship Id="rId40" Type="http://schemas.openxmlformats.org/officeDocument/2006/relationships/image" Target="../media/image93.jpg"/><Relationship Id="rId45" Type="http://schemas.openxmlformats.org/officeDocument/2006/relationships/image" Target="../media/image119.jpg"/><Relationship Id="rId66" Type="http://schemas.openxmlformats.org/officeDocument/2006/relationships/image" Target="../media/image215.jpg"/><Relationship Id="rId87" Type="http://schemas.openxmlformats.org/officeDocument/2006/relationships/image" Target="../media/image65.jpg"/><Relationship Id="rId61" Type="http://schemas.openxmlformats.org/officeDocument/2006/relationships/image" Target="../media/image214.jpg"/><Relationship Id="rId82" Type="http://schemas.openxmlformats.org/officeDocument/2006/relationships/image" Target="../media/image225.jpg"/><Relationship Id="rId19" Type="http://schemas.openxmlformats.org/officeDocument/2006/relationships/image" Target="../media/image98.jpg"/><Relationship Id="rId14" Type="http://schemas.openxmlformats.org/officeDocument/2006/relationships/image" Target="../media/image77.jpg"/><Relationship Id="rId30" Type="http://schemas.openxmlformats.org/officeDocument/2006/relationships/image" Target="../media/image190.jpg"/><Relationship Id="rId35" Type="http://schemas.openxmlformats.org/officeDocument/2006/relationships/image" Target="../media/image87.jpg"/><Relationship Id="rId56" Type="http://schemas.openxmlformats.org/officeDocument/2006/relationships/image" Target="../media/image211.jpg"/><Relationship Id="rId77" Type="http://schemas.openxmlformats.org/officeDocument/2006/relationships/image" Target="../media/image222.jpg"/><Relationship Id="rId100" Type="http://schemas.openxmlformats.org/officeDocument/2006/relationships/image" Target="../media/image233.png"/><Relationship Id="rId8" Type="http://schemas.openxmlformats.org/officeDocument/2006/relationships/image" Target="../media/image200.jpg"/><Relationship Id="rId51" Type="http://schemas.openxmlformats.org/officeDocument/2006/relationships/image" Target="../media/image86.jpg"/><Relationship Id="rId72" Type="http://schemas.openxmlformats.org/officeDocument/2006/relationships/image" Target="../media/image115.jpg"/><Relationship Id="rId93" Type="http://schemas.openxmlformats.org/officeDocument/2006/relationships/image" Target="../media/image71.jpg"/><Relationship Id="rId98" Type="http://schemas.openxmlformats.org/officeDocument/2006/relationships/image" Target="../media/image232.png"/><Relationship Id="rId3" Type="http://schemas.openxmlformats.org/officeDocument/2006/relationships/image" Target="../media/image2.png"/></Relationships>
</file>

<file path=xl/drawings/_rels/drawing7.xml.rels><?xml version="1.0" encoding="UTF-8" standalone="yes"?>
<Relationships xmlns="http://schemas.openxmlformats.org/package/2006/relationships"><Relationship Id="rId13" Type="http://schemas.openxmlformats.org/officeDocument/2006/relationships/image" Target="../media/image19.jpg"/><Relationship Id="rId18" Type="http://schemas.openxmlformats.org/officeDocument/2006/relationships/image" Target="../media/image20.jpg"/><Relationship Id="rId26" Type="http://schemas.openxmlformats.org/officeDocument/2006/relationships/image" Target="../media/image24.jpg"/><Relationship Id="rId39" Type="http://schemas.openxmlformats.org/officeDocument/2006/relationships/image" Target="../media/image5.jpg"/><Relationship Id="rId21" Type="http://schemas.openxmlformats.org/officeDocument/2006/relationships/image" Target="../media/image179.jpg"/><Relationship Id="rId34" Type="http://schemas.openxmlformats.org/officeDocument/2006/relationships/image" Target="../media/image10.jpg"/><Relationship Id="rId42" Type="http://schemas.openxmlformats.org/officeDocument/2006/relationships/image" Target="../media/image47.jpg"/><Relationship Id="rId47" Type="http://schemas.openxmlformats.org/officeDocument/2006/relationships/image" Target="../media/image87.jpg"/><Relationship Id="rId50" Type="http://schemas.openxmlformats.org/officeDocument/2006/relationships/image" Target="../media/image80.jpg"/><Relationship Id="rId55" Type="http://schemas.openxmlformats.org/officeDocument/2006/relationships/image" Target="../media/image166.png"/><Relationship Id="rId7" Type="http://schemas.openxmlformats.org/officeDocument/2006/relationships/image" Target="../media/image16.jpg"/><Relationship Id="rId2" Type="http://schemas.openxmlformats.org/officeDocument/2006/relationships/image" Target="../media/image153.png"/><Relationship Id="rId16" Type="http://schemas.openxmlformats.org/officeDocument/2006/relationships/image" Target="../media/image162.png"/><Relationship Id="rId29" Type="http://schemas.openxmlformats.org/officeDocument/2006/relationships/image" Target="../media/image97.jpg"/><Relationship Id="rId11" Type="http://schemas.openxmlformats.org/officeDocument/2006/relationships/image" Target="../media/image181.jpg"/><Relationship Id="rId24" Type="http://schemas.openxmlformats.org/officeDocument/2006/relationships/image" Target="../media/image167.png"/><Relationship Id="rId32" Type="http://schemas.openxmlformats.org/officeDocument/2006/relationships/image" Target="../media/image36.jpg"/><Relationship Id="rId37" Type="http://schemas.openxmlformats.org/officeDocument/2006/relationships/image" Target="../media/image95.jpg"/><Relationship Id="rId40" Type="http://schemas.openxmlformats.org/officeDocument/2006/relationships/image" Target="../media/image44.jpg"/><Relationship Id="rId45" Type="http://schemas.openxmlformats.org/officeDocument/2006/relationships/image" Target="../media/image110.jpg"/><Relationship Id="rId53" Type="http://schemas.openxmlformats.org/officeDocument/2006/relationships/image" Target="../media/image79.jpg"/><Relationship Id="rId5" Type="http://schemas.openxmlformats.org/officeDocument/2006/relationships/image" Target="../media/image82.jpg"/><Relationship Id="rId19" Type="http://schemas.openxmlformats.org/officeDocument/2006/relationships/image" Target="../media/image185.jpg"/><Relationship Id="rId4" Type="http://schemas.openxmlformats.org/officeDocument/2006/relationships/image" Target="../media/image14.jpg"/><Relationship Id="rId9" Type="http://schemas.openxmlformats.org/officeDocument/2006/relationships/image" Target="../media/image13.jpg"/><Relationship Id="rId14" Type="http://schemas.openxmlformats.org/officeDocument/2006/relationships/image" Target="../media/image2.png"/><Relationship Id="rId22" Type="http://schemas.openxmlformats.org/officeDocument/2006/relationships/image" Target="../media/image187.jpg"/><Relationship Id="rId27" Type="http://schemas.openxmlformats.org/officeDocument/2006/relationships/image" Target="../media/image12.jpg"/><Relationship Id="rId30" Type="http://schemas.openxmlformats.org/officeDocument/2006/relationships/image" Target="../media/image191.jpg"/><Relationship Id="rId35" Type="http://schemas.openxmlformats.org/officeDocument/2006/relationships/image" Target="../media/image88.jpg"/><Relationship Id="rId43" Type="http://schemas.openxmlformats.org/officeDocument/2006/relationships/image" Target="../media/image30.jpg"/><Relationship Id="rId48" Type="http://schemas.openxmlformats.org/officeDocument/2006/relationships/image" Target="../media/image46.jpg"/><Relationship Id="rId56" Type="http://schemas.openxmlformats.org/officeDocument/2006/relationships/image" Target="../media/image85.jpg"/><Relationship Id="rId8" Type="http://schemas.openxmlformats.org/officeDocument/2006/relationships/image" Target="../media/image18.jpg"/><Relationship Id="rId51" Type="http://schemas.openxmlformats.org/officeDocument/2006/relationships/image" Target="../media/image55.jpg"/><Relationship Id="rId3" Type="http://schemas.openxmlformats.org/officeDocument/2006/relationships/image" Target="../media/image173.png"/><Relationship Id="rId12" Type="http://schemas.openxmlformats.org/officeDocument/2006/relationships/image" Target="../media/image175.jpg"/><Relationship Id="rId17" Type="http://schemas.openxmlformats.org/officeDocument/2006/relationships/image" Target="../media/image23.jpg"/><Relationship Id="rId25" Type="http://schemas.openxmlformats.org/officeDocument/2006/relationships/image" Target="../media/image42.jpg"/><Relationship Id="rId33" Type="http://schemas.openxmlformats.org/officeDocument/2006/relationships/image" Target="../media/image50.jpg"/><Relationship Id="rId38" Type="http://schemas.openxmlformats.org/officeDocument/2006/relationships/image" Target="../media/image57.jpg"/><Relationship Id="rId46" Type="http://schemas.openxmlformats.org/officeDocument/2006/relationships/image" Target="../media/image38.jpg"/><Relationship Id="rId20" Type="http://schemas.openxmlformats.org/officeDocument/2006/relationships/image" Target="../media/image108.jpg"/><Relationship Id="rId41" Type="http://schemas.openxmlformats.org/officeDocument/2006/relationships/image" Target="../media/image204.jpg"/><Relationship Id="rId54" Type="http://schemas.openxmlformats.org/officeDocument/2006/relationships/image" Target="../media/image86.jpg"/><Relationship Id="rId1" Type="http://schemas.openxmlformats.org/officeDocument/2006/relationships/image" Target="../media/image172.jpg"/><Relationship Id="rId6" Type="http://schemas.openxmlformats.org/officeDocument/2006/relationships/image" Target="../media/image6.jpg"/><Relationship Id="rId15" Type="http://schemas.openxmlformats.org/officeDocument/2006/relationships/image" Target="../media/image237.jpg"/><Relationship Id="rId23" Type="http://schemas.openxmlformats.org/officeDocument/2006/relationships/image" Target="../media/image193.jpg"/><Relationship Id="rId28" Type="http://schemas.openxmlformats.org/officeDocument/2006/relationships/image" Target="../media/image188.png"/><Relationship Id="rId36" Type="http://schemas.openxmlformats.org/officeDocument/2006/relationships/image" Target="../media/image98.jpg"/><Relationship Id="rId49" Type="http://schemas.openxmlformats.org/officeDocument/2006/relationships/image" Target="../media/image238.jpg"/><Relationship Id="rId57" Type="http://schemas.openxmlformats.org/officeDocument/2006/relationships/image" Target="../media/image83.jpg"/><Relationship Id="rId10" Type="http://schemas.openxmlformats.org/officeDocument/2006/relationships/image" Target="../media/image54.jpg"/><Relationship Id="rId31" Type="http://schemas.openxmlformats.org/officeDocument/2006/relationships/image" Target="../media/image160.png"/><Relationship Id="rId44" Type="http://schemas.openxmlformats.org/officeDocument/2006/relationships/image" Target="../media/image15.jpg"/><Relationship Id="rId52" Type="http://schemas.openxmlformats.org/officeDocument/2006/relationships/image" Target="../media/image197.jpg"/></Relationships>
</file>

<file path=xl/drawings/_rels/drawing8.xml.rels><?xml version="1.0" encoding="UTF-8" standalone="yes"?>
<Relationships xmlns="http://schemas.openxmlformats.org/package/2006/relationships"><Relationship Id="rId13" Type="http://schemas.openxmlformats.org/officeDocument/2006/relationships/image" Target="../media/image191.jpg"/><Relationship Id="rId18" Type="http://schemas.openxmlformats.org/officeDocument/2006/relationships/image" Target="../media/image23.jpg"/><Relationship Id="rId26" Type="http://schemas.openxmlformats.org/officeDocument/2006/relationships/image" Target="../media/image5.jpg"/><Relationship Id="rId39" Type="http://schemas.openxmlformats.org/officeDocument/2006/relationships/image" Target="../media/image98.jpg"/><Relationship Id="rId21" Type="http://schemas.openxmlformats.org/officeDocument/2006/relationships/image" Target="../media/image162.png"/><Relationship Id="rId34" Type="http://schemas.openxmlformats.org/officeDocument/2006/relationships/image" Target="../media/image82.jpg"/><Relationship Id="rId42" Type="http://schemas.openxmlformats.org/officeDocument/2006/relationships/image" Target="../media/image24.jpg"/><Relationship Id="rId47" Type="http://schemas.openxmlformats.org/officeDocument/2006/relationships/image" Target="../media/image95.jpg"/><Relationship Id="rId50" Type="http://schemas.openxmlformats.org/officeDocument/2006/relationships/image" Target="../media/image87.jpg"/><Relationship Id="rId7" Type="http://schemas.openxmlformats.org/officeDocument/2006/relationships/image" Target="../media/image204.jpg"/><Relationship Id="rId2" Type="http://schemas.openxmlformats.org/officeDocument/2006/relationships/image" Target="../media/image18.jpg"/><Relationship Id="rId16" Type="http://schemas.openxmlformats.org/officeDocument/2006/relationships/image" Target="../media/image47.jpg"/><Relationship Id="rId29" Type="http://schemas.openxmlformats.org/officeDocument/2006/relationships/image" Target="../media/image166.png"/><Relationship Id="rId11" Type="http://schemas.openxmlformats.org/officeDocument/2006/relationships/image" Target="../media/image108.jpg"/><Relationship Id="rId24" Type="http://schemas.openxmlformats.org/officeDocument/2006/relationships/image" Target="../media/image10.jpg"/><Relationship Id="rId32" Type="http://schemas.openxmlformats.org/officeDocument/2006/relationships/image" Target="../media/image14.jpg"/><Relationship Id="rId37" Type="http://schemas.openxmlformats.org/officeDocument/2006/relationships/image" Target="../media/image19.jpg"/><Relationship Id="rId40" Type="http://schemas.openxmlformats.org/officeDocument/2006/relationships/image" Target="../media/image57.jpg"/><Relationship Id="rId45" Type="http://schemas.openxmlformats.org/officeDocument/2006/relationships/image" Target="../media/image79.jpg"/><Relationship Id="rId5" Type="http://schemas.openxmlformats.org/officeDocument/2006/relationships/image" Target="../media/image2.png"/><Relationship Id="rId15" Type="http://schemas.openxmlformats.org/officeDocument/2006/relationships/image" Target="../media/image15.jpg"/><Relationship Id="rId23" Type="http://schemas.openxmlformats.org/officeDocument/2006/relationships/image" Target="../media/image160.png"/><Relationship Id="rId28" Type="http://schemas.openxmlformats.org/officeDocument/2006/relationships/image" Target="../media/image38.jpg"/><Relationship Id="rId36" Type="http://schemas.openxmlformats.org/officeDocument/2006/relationships/image" Target="../media/image16.jpg"/><Relationship Id="rId49" Type="http://schemas.openxmlformats.org/officeDocument/2006/relationships/image" Target="../media/image125.png"/><Relationship Id="rId10" Type="http://schemas.openxmlformats.org/officeDocument/2006/relationships/image" Target="../media/image181.jpg"/><Relationship Id="rId19" Type="http://schemas.openxmlformats.org/officeDocument/2006/relationships/image" Target="../media/image50.jpg"/><Relationship Id="rId31" Type="http://schemas.openxmlformats.org/officeDocument/2006/relationships/image" Target="../media/image83.jpg"/><Relationship Id="rId44" Type="http://schemas.openxmlformats.org/officeDocument/2006/relationships/image" Target="../media/image80.jpg"/><Relationship Id="rId4" Type="http://schemas.openxmlformats.org/officeDocument/2006/relationships/image" Target="../media/image239.jpg"/><Relationship Id="rId9" Type="http://schemas.openxmlformats.org/officeDocument/2006/relationships/image" Target="../media/image54.jpg"/><Relationship Id="rId14" Type="http://schemas.openxmlformats.org/officeDocument/2006/relationships/image" Target="../media/image88.jpg"/><Relationship Id="rId22" Type="http://schemas.openxmlformats.org/officeDocument/2006/relationships/image" Target="../media/image20.jpg"/><Relationship Id="rId27" Type="http://schemas.openxmlformats.org/officeDocument/2006/relationships/image" Target="../media/image46.jpg"/><Relationship Id="rId30" Type="http://schemas.openxmlformats.org/officeDocument/2006/relationships/image" Target="../media/image85.jpg"/><Relationship Id="rId35" Type="http://schemas.openxmlformats.org/officeDocument/2006/relationships/image" Target="../media/image240.jpg"/><Relationship Id="rId43" Type="http://schemas.openxmlformats.org/officeDocument/2006/relationships/image" Target="../media/image44.jpg"/><Relationship Id="rId48" Type="http://schemas.openxmlformats.org/officeDocument/2006/relationships/image" Target="../media/image110.jpg"/><Relationship Id="rId8" Type="http://schemas.openxmlformats.org/officeDocument/2006/relationships/image" Target="../media/image197.jpg"/><Relationship Id="rId3" Type="http://schemas.openxmlformats.org/officeDocument/2006/relationships/image" Target="../media/image55.jpg"/><Relationship Id="rId12" Type="http://schemas.openxmlformats.org/officeDocument/2006/relationships/image" Target="../media/image97.jpg"/><Relationship Id="rId17" Type="http://schemas.openxmlformats.org/officeDocument/2006/relationships/image" Target="../media/image30.jpg"/><Relationship Id="rId25" Type="http://schemas.openxmlformats.org/officeDocument/2006/relationships/image" Target="../media/image36.jpg"/><Relationship Id="rId33" Type="http://schemas.openxmlformats.org/officeDocument/2006/relationships/image" Target="../media/image185.jpg"/><Relationship Id="rId38" Type="http://schemas.openxmlformats.org/officeDocument/2006/relationships/image" Target="../media/image141.png"/><Relationship Id="rId46" Type="http://schemas.openxmlformats.org/officeDocument/2006/relationships/image" Target="../media/image86.jpg"/><Relationship Id="rId20" Type="http://schemas.openxmlformats.org/officeDocument/2006/relationships/image" Target="../media/image136.png"/><Relationship Id="rId41" Type="http://schemas.openxmlformats.org/officeDocument/2006/relationships/image" Target="../media/image42.jpg"/><Relationship Id="rId1" Type="http://schemas.openxmlformats.org/officeDocument/2006/relationships/image" Target="../media/image153.png"/><Relationship Id="rId6" Type="http://schemas.openxmlformats.org/officeDocument/2006/relationships/image" Target="../media/image6.jpg"/></Relationships>
</file>

<file path=xl/drawings/_rels/drawing9.xml.rels><?xml version="1.0" encoding="UTF-8" standalone="yes"?>
<Relationships xmlns="http://schemas.openxmlformats.org/package/2006/relationships"><Relationship Id="rId13" Type="http://schemas.openxmlformats.org/officeDocument/2006/relationships/image" Target="../media/image191.jpg"/><Relationship Id="rId18" Type="http://schemas.openxmlformats.org/officeDocument/2006/relationships/image" Target="../media/image5.jpg"/><Relationship Id="rId26" Type="http://schemas.openxmlformats.org/officeDocument/2006/relationships/image" Target="../media/image162.png"/><Relationship Id="rId39" Type="http://schemas.openxmlformats.org/officeDocument/2006/relationships/image" Target="../media/image44.jpg"/><Relationship Id="rId21" Type="http://schemas.openxmlformats.org/officeDocument/2006/relationships/image" Target="../media/image23.jpg"/><Relationship Id="rId34" Type="http://schemas.openxmlformats.org/officeDocument/2006/relationships/image" Target="../media/image141.png"/><Relationship Id="rId42" Type="http://schemas.openxmlformats.org/officeDocument/2006/relationships/image" Target="../media/image80.jpg"/><Relationship Id="rId47" Type="http://schemas.openxmlformats.org/officeDocument/2006/relationships/image" Target="../media/image87.jpg"/><Relationship Id="rId7" Type="http://schemas.openxmlformats.org/officeDocument/2006/relationships/image" Target="../media/image55.jpg"/><Relationship Id="rId2" Type="http://schemas.openxmlformats.org/officeDocument/2006/relationships/image" Target="../media/image6.jpg"/><Relationship Id="rId16" Type="http://schemas.openxmlformats.org/officeDocument/2006/relationships/image" Target="../media/image47.jpg"/><Relationship Id="rId29" Type="http://schemas.openxmlformats.org/officeDocument/2006/relationships/image" Target="../media/image179.jpg"/><Relationship Id="rId1" Type="http://schemas.openxmlformats.org/officeDocument/2006/relationships/image" Target="../media/image153.png"/><Relationship Id="rId6" Type="http://schemas.openxmlformats.org/officeDocument/2006/relationships/image" Target="../media/image204.jpg"/><Relationship Id="rId11" Type="http://schemas.openxmlformats.org/officeDocument/2006/relationships/image" Target="../media/image108.jpg"/><Relationship Id="rId24" Type="http://schemas.openxmlformats.org/officeDocument/2006/relationships/image" Target="../media/image10.jpg"/><Relationship Id="rId32" Type="http://schemas.openxmlformats.org/officeDocument/2006/relationships/image" Target="../media/image82.jpg"/><Relationship Id="rId37" Type="http://schemas.openxmlformats.org/officeDocument/2006/relationships/image" Target="../media/image42.jpg"/><Relationship Id="rId40" Type="http://schemas.openxmlformats.org/officeDocument/2006/relationships/image" Target="../media/image166.png"/><Relationship Id="rId45" Type="http://schemas.openxmlformats.org/officeDocument/2006/relationships/image" Target="../media/image95.jpg"/><Relationship Id="rId5" Type="http://schemas.openxmlformats.org/officeDocument/2006/relationships/image" Target="../media/image2.png"/><Relationship Id="rId15" Type="http://schemas.openxmlformats.org/officeDocument/2006/relationships/image" Target="../media/image15.jpg"/><Relationship Id="rId23" Type="http://schemas.openxmlformats.org/officeDocument/2006/relationships/image" Target="../media/image38.jpg"/><Relationship Id="rId28" Type="http://schemas.openxmlformats.org/officeDocument/2006/relationships/image" Target="../media/image14.jpg"/><Relationship Id="rId36" Type="http://schemas.openxmlformats.org/officeDocument/2006/relationships/image" Target="../media/image57.jpg"/><Relationship Id="rId10" Type="http://schemas.openxmlformats.org/officeDocument/2006/relationships/image" Target="../media/image181.jpg"/><Relationship Id="rId19" Type="http://schemas.openxmlformats.org/officeDocument/2006/relationships/image" Target="../media/image36.jpg"/><Relationship Id="rId31" Type="http://schemas.openxmlformats.org/officeDocument/2006/relationships/image" Target="../media/image185.jpg"/><Relationship Id="rId44" Type="http://schemas.openxmlformats.org/officeDocument/2006/relationships/image" Target="../media/image86.jpg"/><Relationship Id="rId4" Type="http://schemas.openxmlformats.org/officeDocument/2006/relationships/image" Target="../media/image16.jpg"/><Relationship Id="rId9" Type="http://schemas.openxmlformats.org/officeDocument/2006/relationships/image" Target="../media/image54.jpg"/><Relationship Id="rId14" Type="http://schemas.openxmlformats.org/officeDocument/2006/relationships/image" Target="../media/image88.jpg"/><Relationship Id="rId22" Type="http://schemas.openxmlformats.org/officeDocument/2006/relationships/image" Target="../media/image46.jpg"/><Relationship Id="rId27" Type="http://schemas.openxmlformats.org/officeDocument/2006/relationships/image" Target="../media/image83.jpg"/><Relationship Id="rId30" Type="http://schemas.openxmlformats.org/officeDocument/2006/relationships/image" Target="../media/image187.jpg"/><Relationship Id="rId35" Type="http://schemas.openxmlformats.org/officeDocument/2006/relationships/image" Target="../media/image98.jpg"/><Relationship Id="rId43" Type="http://schemas.openxmlformats.org/officeDocument/2006/relationships/image" Target="../media/image79.jpg"/><Relationship Id="rId8" Type="http://schemas.openxmlformats.org/officeDocument/2006/relationships/image" Target="../media/image197.jpg"/><Relationship Id="rId3" Type="http://schemas.openxmlformats.org/officeDocument/2006/relationships/image" Target="../media/image18.jpg"/><Relationship Id="rId12" Type="http://schemas.openxmlformats.org/officeDocument/2006/relationships/image" Target="../media/image97.jpg"/><Relationship Id="rId17" Type="http://schemas.openxmlformats.org/officeDocument/2006/relationships/image" Target="../media/image30.jpg"/><Relationship Id="rId25" Type="http://schemas.openxmlformats.org/officeDocument/2006/relationships/image" Target="../media/image20.jpg"/><Relationship Id="rId33" Type="http://schemas.openxmlformats.org/officeDocument/2006/relationships/image" Target="../media/image19.jpg"/><Relationship Id="rId38" Type="http://schemas.openxmlformats.org/officeDocument/2006/relationships/image" Target="../media/image24.jpg"/><Relationship Id="rId46" Type="http://schemas.openxmlformats.org/officeDocument/2006/relationships/image" Target="../media/image110.jpg"/><Relationship Id="rId20" Type="http://schemas.openxmlformats.org/officeDocument/2006/relationships/image" Target="../media/image50.jpg"/><Relationship Id="rId41" Type="http://schemas.openxmlformats.org/officeDocument/2006/relationships/image" Target="../media/image85.jpg"/></Relationships>
</file>

<file path=xl/drawings/drawing1.xml><?xml version="1.0" encoding="utf-8"?>
<xdr:wsDr xmlns:xdr="http://schemas.openxmlformats.org/drawingml/2006/spreadsheetDrawing" xmlns:a="http://schemas.openxmlformats.org/drawingml/2006/main">
  <xdr:oneCellAnchor>
    <xdr:from>
      <xdr:col>2</xdr:col>
      <xdr:colOff>0</xdr:colOff>
      <xdr:row>7</xdr:row>
      <xdr:rowOff>0</xdr:rowOff>
    </xdr:from>
    <xdr:ext cx="428625" cy="428625"/>
    <xdr:pic>
      <xdr:nvPicPr>
        <xdr:cNvPr id="2" name="image23.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1</xdr:col>
      <xdr:colOff>0</xdr:colOff>
      <xdr:row>1</xdr:row>
      <xdr:rowOff>0</xdr:rowOff>
    </xdr:from>
    <xdr:ext cx="476250" cy="476250"/>
    <xdr:pic>
      <xdr:nvPicPr>
        <xdr:cNvPr id="2" name="image83.jpg">
          <a:extLst>
            <a:ext uri="{FF2B5EF4-FFF2-40B4-BE49-F238E27FC236}">
              <a16:creationId xmlns:a16="http://schemas.microsoft.com/office/drawing/2014/main" id="{00000000-0008-0000-0B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xdr:row>
      <xdr:rowOff>0</xdr:rowOff>
    </xdr:from>
    <xdr:ext cx="476250" cy="476250"/>
    <xdr:pic>
      <xdr:nvPicPr>
        <xdr:cNvPr id="3" name="image143.png">
          <a:extLst>
            <a:ext uri="{FF2B5EF4-FFF2-40B4-BE49-F238E27FC236}">
              <a16:creationId xmlns:a16="http://schemas.microsoft.com/office/drawing/2014/main" id="{00000000-0008-0000-0B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xdr:row>
      <xdr:rowOff>0</xdr:rowOff>
    </xdr:from>
    <xdr:ext cx="476250" cy="476250"/>
    <xdr:pic>
      <xdr:nvPicPr>
        <xdr:cNvPr id="4" name="image8.jpg">
          <a:extLst>
            <a:ext uri="{FF2B5EF4-FFF2-40B4-BE49-F238E27FC236}">
              <a16:creationId xmlns:a16="http://schemas.microsoft.com/office/drawing/2014/main" id="{00000000-0008-0000-0B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4</xdr:row>
      <xdr:rowOff>0</xdr:rowOff>
    </xdr:from>
    <xdr:ext cx="476250" cy="476250"/>
    <xdr:pic>
      <xdr:nvPicPr>
        <xdr:cNvPr id="5" name="image1.jpg">
          <a:extLst>
            <a:ext uri="{FF2B5EF4-FFF2-40B4-BE49-F238E27FC236}">
              <a16:creationId xmlns:a16="http://schemas.microsoft.com/office/drawing/2014/main" id="{00000000-0008-0000-0B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5</xdr:row>
      <xdr:rowOff>0</xdr:rowOff>
    </xdr:from>
    <xdr:ext cx="476250" cy="476250"/>
    <xdr:pic>
      <xdr:nvPicPr>
        <xdr:cNvPr id="6" name="image20.png">
          <a:extLst>
            <a:ext uri="{FF2B5EF4-FFF2-40B4-BE49-F238E27FC236}">
              <a16:creationId xmlns:a16="http://schemas.microsoft.com/office/drawing/2014/main" id="{00000000-0008-0000-0B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xdr:row>
      <xdr:rowOff>0</xdr:rowOff>
    </xdr:from>
    <xdr:ext cx="476250" cy="476250"/>
    <xdr:pic>
      <xdr:nvPicPr>
        <xdr:cNvPr id="7" name="image35.jpg">
          <a:extLst>
            <a:ext uri="{FF2B5EF4-FFF2-40B4-BE49-F238E27FC236}">
              <a16:creationId xmlns:a16="http://schemas.microsoft.com/office/drawing/2014/main" id="{00000000-0008-0000-0B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xdr:row>
      <xdr:rowOff>0</xdr:rowOff>
    </xdr:from>
    <xdr:ext cx="476250" cy="476250"/>
    <xdr:pic>
      <xdr:nvPicPr>
        <xdr:cNvPr id="8" name="image262.jpg">
          <a:extLst>
            <a:ext uri="{FF2B5EF4-FFF2-40B4-BE49-F238E27FC236}">
              <a16:creationId xmlns:a16="http://schemas.microsoft.com/office/drawing/2014/main" id="{00000000-0008-0000-0B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8</xdr:row>
      <xdr:rowOff>0</xdr:rowOff>
    </xdr:from>
    <xdr:ext cx="476250" cy="476250"/>
    <xdr:pic>
      <xdr:nvPicPr>
        <xdr:cNvPr id="9" name="image8.jpg">
          <a:extLst>
            <a:ext uri="{FF2B5EF4-FFF2-40B4-BE49-F238E27FC236}">
              <a16:creationId xmlns:a16="http://schemas.microsoft.com/office/drawing/2014/main" id="{00000000-0008-0000-0B00-000009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9</xdr:row>
      <xdr:rowOff>0</xdr:rowOff>
    </xdr:from>
    <xdr:ext cx="476250" cy="476250"/>
    <xdr:pic>
      <xdr:nvPicPr>
        <xdr:cNvPr id="10" name="image180.jpg">
          <a:extLst>
            <a:ext uri="{FF2B5EF4-FFF2-40B4-BE49-F238E27FC236}">
              <a16:creationId xmlns:a16="http://schemas.microsoft.com/office/drawing/2014/main" id="{00000000-0008-0000-0B00-00000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xdr:row>
      <xdr:rowOff>0</xdr:rowOff>
    </xdr:from>
    <xdr:ext cx="476250" cy="476250"/>
    <xdr:pic>
      <xdr:nvPicPr>
        <xdr:cNvPr id="11" name="image20.png">
          <a:extLst>
            <a:ext uri="{FF2B5EF4-FFF2-40B4-BE49-F238E27FC236}">
              <a16:creationId xmlns:a16="http://schemas.microsoft.com/office/drawing/2014/main" id="{00000000-0008-0000-0B00-00000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11</xdr:row>
      <xdr:rowOff>0</xdr:rowOff>
    </xdr:from>
    <xdr:ext cx="476250" cy="476250"/>
    <xdr:pic>
      <xdr:nvPicPr>
        <xdr:cNvPr id="12" name="image1.jpg">
          <a:extLst>
            <a:ext uri="{FF2B5EF4-FFF2-40B4-BE49-F238E27FC236}">
              <a16:creationId xmlns:a16="http://schemas.microsoft.com/office/drawing/2014/main" id="{00000000-0008-0000-0B00-00000C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12</xdr:row>
      <xdr:rowOff>0</xdr:rowOff>
    </xdr:from>
    <xdr:ext cx="476250" cy="476250"/>
    <xdr:pic>
      <xdr:nvPicPr>
        <xdr:cNvPr id="13" name="image20.png">
          <a:extLst>
            <a:ext uri="{FF2B5EF4-FFF2-40B4-BE49-F238E27FC236}">
              <a16:creationId xmlns:a16="http://schemas.microsoft.com/office/drawing/2014/main" id="{00000000-0008-0000-0B00-00000D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13</xdr:row>
      <xdr:rowOff>0</xdr:rowOff>
    </xdr:from>
    <xdr:ext cx="476250" cy="476250"/>
    <xdr:pic>
      <xdr:nvPicPr>
        <xdr:cNvPr id="14" name="image36.jpg">
          <a:extLst>
            <a:ext uri="{FF2B5EF4-FFF2-40B4-BE49-F238E27FC236}">
              <a16:creationId xmlns:a16="http://schemas.microsoft.com/office/drawing/2014/main" id="{00000000-0008-0000-0B00-00000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14</xdr:row>
      <xdr:rowOff>0</xdr:rowOff>
    </xdr:from>
    <xdr:ext cx="476250" cy="476250"/>
    <xdr:pic>
      <xdr:nvPicPr>
        <xdr:cNvPr id="15" name="image78.jpg">
          <a:extLst>
            <a:ext uri="{FF2B5EF4-FFF2-40B4-BE49-F238E27FC236}">
              <a16:creationId xmlns:a16="http://schemas.microsoft.com/office/drawing/2014/main" id="{00000000-0008-0000-0B00-00000F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15</xdr:row>
      <xdr:rowOff>0</xdr:rowOff>
    </xdr:from>
    <xdr:ext cx="476250" cy="476250"/>
    <xdr:pic>
      <xdr:nvPicPr>
        <xdr:cNvPr id="16" name="image143.png">
          <a:extLst>
            <a:ext uri="{FF2B5EF4-FFF2-40B4-BE49-F238E27FC236}">
              <a16:creationId xmlns:a16="http://schemas.microsoft.com/office/drawing/2014/main" id="{00000000-0008-0000-0B00-000010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16</xdr:row>
      <xdr:rowOff>0</xdr:rowOff>
    </xdr:from>
    <xdr:ext cx="476250" cy="476250"/>
    <xdr:pic>
      <xdr:nvPicPr>
        <xdr:cNvPr id="17" name="image20.png">
          <a:extLst>
            <a:ext uri="{FF2B5EF4-FFF2-40B4-BE49-F238E27FC236}">
              <a16:creationId xmlns:a16="http://schemas.microsoft.com/office/drawing/2014/main" id="{00000000-0008-0000-0B00-000011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17</xdr:row>
      <xdr:rowOff>0</xdr:rowOff>
    </xdr:from>
    <xdr:ext cx="476250" cy="476250"/>
    <xdr:pic>
      <xdr:nvPicPr>
        <xdr:cNvPr id="18" name="image180.jpg">
          <a:extLst>
            <a:ext uri="{FF2B5EF4-FFF2-40B4-BE49-F238E27FC236}">
              <a16:creationId xmlns:a16="http://schemas.microsoft.com/office/drawing/2014/main" id="{00000000-0008-0000-0B00-000012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18</xdr:row>
      <xdr:rowOff>0</xdr:rowOff>
    </xdr:from>
    <xdr:ext cx="476250" cy="476250"/>
    <xdr:pic>
      <xdr:nvPicPr>
        <xdr:cNvPr id="19" name="image46.jpg">
          <a:extLst>
            <a:ext uri="{FF2B5EF4-FFF2-40B4-BE49-F238E27FC236}">
              <a16:creationId xmlns:a16="http://schemas.microsoft.com/office/drawing/2014/main" id="{00000000-0008-0000-0B00-000013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19</xdr:row>
      <xdr:rowOff>0</xdr:rowOff>
    </xdr:from>
    <xdr:ext cx="476250" cy="476250"/>
    <xdr:pic>
      <xdr:nvPicPr>
        <xdr:cNvPr id="20" name="image109.jpg">
          <a:extLst>
            <a:ext uri="{FF2B5EF4-FFF2-40B4-BE49-F238E27FC236}">
              <a16:creationId xmlns:a16="http://schemas.microsoft.com/office/drawing/2014/main" id="{00000000-0008-0000-0B00-000014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20</xdr:row>
      <xdr:rowOff>0</xdr:rowOff>
    </xdr:from>
    <xdr:ext cx="476250" cy="476250"/>
    <xdr:pic>
      <xdr:nvPicPr>
        <xdr:cNvPr id="21" name="image92.jpg">
          <a:extLst>
            <a:ext uri="{FF2B5EF4-FFF2-40B4-BE49-F238E27FC236}">
              <a16:creationId xmlns:a16="http://schemas.microsoft.com/office/drawing/2014/main" id="{00000000-0008-0000-0B00-000015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21</xdr:row>
      <xdr:rowOff>0</xdr:rowOff>
    </xdr:from>
    <xdr:ext cx="476250" cy="476250"/>
    <xdr:pic>
      <xdr:nvPicPr>
        <xdr:cNvPr id="22" name="image22.jpg">
          <a:extLst>
            <a:ext uri="{FF2B5EF4-FFF2-40B4-BE49-F238E27FC236}">
              <a16:creationId xmlns:a16="http://schemas.microsoft.com/office/drawing/2014/main" id="{00000000-0008-0000-0B00-000016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22</xdr:row>
      <xdr:rowOff>0</xdr:rowOff>
    </xdr:from>
    <xdr:ext cx="476250" cy="476250"/>
    <xdr:pic>
      <xdr:nvPicPr>
        <xdr:cNvPr id="23" name="image51.jpg">
          <a:extLst>
            <a:ext uri="{FF2B5EF4-FFF2-40B4-BE49-F238E27FC236}">
              <a16:creationId xmlns:a16="http://schemas.microsoft.com/office/drawing/2014/main" id="{00000000-0008-0000-0B00-000017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23</xdr:row>
      <xdr:rowOff>0</xdr:rowOff>
    </xdr:from>
    <xdr:ext cx="476250" cy="476250"/>
    <xdr:pic>
      <xdr:nvPicPr>
        <xdr:cNvPr id="24" name="image120.jpg">
          <a:extLst>
            <a:ext uri="{FF2B5EF4-FFF2-40B4-BE49-F238E27FC236}">
              <a16:creationId xmlns:a16="http://schemas.microsoft.com/office/drawing/2014/main" id="{00000000-0008-0000-0B00-000018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24</xdr:row>
      <xdr:rowOff>0</xdr:rowOff>
    </xdr:from>
    <xdr:ext cx="476250" cy="476250"/>
    <xdr:pic>
      <xdr:nvPicPr>
        <xdr:cNvPr id="25" name="image101.jpg">
          <a:extLst>
            <a:ext uri="{FF2B5EF4-FFF2-40B4-BE49-F238E27FC236}">
              <a16:creationId xmlns:a16="http://schemas.microsoft.com/office/drawing/2014/main" id="{00000000-0008-0000-0B00-000019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25</xdr:row>
      <xdr:rowOff>0</xdr:rowOff>
    </xdr:from>
    <xdr:ext cx="476250" cy="476250"/>
    <xdr:pic>
      <xdr:nvPicPr>
        <xdr:cNvPr id="26" name="image120.jpg">
          <a:extLst>
            <a:ext uri="{FF2B5EF4-FFF2-40B4-BE49-F238E27FC236}">
              <a16:creationId xmlns:a16="http://schemas.microsoft.com/office/drawing/2014/main" id="{00000000-0008-0000-0B00-00001A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26</xdr:row>
      <xdr:rowOff>0</xdr:rowOff>
    </xdr:from>
    <xdr:ext cx="476250" cy="476250"/>
    <xdr:pic>
      <xdr:nvPicPr>
        <xdr:cNvPr id="27" name="image58.jpg">
          <a:extLst>
            <a:ext uri="{FF2B5EF4-FFF2-40B4-BE49-F238E27FC236}">
              <a16:creationId xmlns:a16="http://schemas.microsoft.com/office/drawing/2014/main" id="{00000000-0008-0000-0B00-00001B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27</xdr:row>
      <xdr:rowOff>0</xdr:rowOff>
    </xdr:from>
    <xdr:ext cx="476250" cy="476250"/>
    <xdr:pic>
      <xdr:nvPicPr>
        <xdr:cNvPr id="28" name="image67.jpg">
          <a:extLst>
            <a:ext uri="{FF2B5EF4-FFF2-40B4-BE49-F238E27FC236}">
              <a16:creationId xmlns:a16="http://schemas.microsoft.com/office/drawing/2014/main" id="{00000000-0008-0000-0B00-00001C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28</xdr:row>
      <xdr:rowOff>0</xdr:rowOff>
    </xdr:from>
    <xdr:ext cx="476250" cy="476250"/>
    <xdr:pic>
      <xdr:nvPicPr>
        <xdr:cNvPr id="29" name="image50.jpg">
          <a:extLst>
            <a:ext uri="{FF2B5EF4-FFF2-40B4-BE49-F238E27FC236}">
              <a16:creationId xmlns:a16="http://schemas.microsoft.com/office/drawing/2014/main" id="{00000000-0008-0000-0B00-00001D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29</xdr:row>
      <xdr:rowOff>0</xdr:rowOff>
    </xdr:from>
    <xdr:ext cx="476250" cy="476250"/>
    <xdr:pic>
      <xdr:nvPicPr>
        <xdr:cNvPr id="30" name="image27.jpg">
          <a:extLst>
            <a:ext uri="{FF2B5EF4-FFF2-40B4-BE49-F238E27FC236}">
              <a16:creationId xmlns:a16="http://schemas.microsoft.com/office/drawing/2014/main" id="{00000000-0008-0000-0B00-00001E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30</xdr:row>
      <xdr:rowOff>0</xdr:rowOff>
    </xdr:from>
    <xdr:ext cx="476250" cy="476250"/>
    <xdr:pic>
      <xdr:nvPicPr>
        <xdr:cNvPr id="31" name="image117.jpg">
          <a:extLst>
            <a:ext uri="{FF2B5EF4-FFF2-40B4-BE49-F238E27FC236}">
              <a16:creationId xmlns:a16="http://schemas.microsoft.com/office/drawing/2014/main" id="{00000000-0008-0000-0B00-00001F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31</xdr:row>
      <xdr:rowOff>0</xdr:rowOff>
    </xdr:from>
    <xdr:ext cx="476250" cy="476250"/>
    <xdr:pic>
      <xdr:nvPicPr>
        <xdr:cNvPr id="32" name="image17.jpg">
          <a:extLst>
            <a:ext uri="{FF2B5EF4-FFF2-40B4-BE49-F238E27FC236}">
              <a16:creationId xmlns:a16="http://schemas.microsoft.com/office/drawing/2014/main" id="{00000000-0008-0000-0B00-000020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xdr:col>
      <xdr:colOff>0</xdr:colOff>
      <xdr:row>32</xdr:row>
      <xdr:rowOff>0</xdr:rowOff>
    </xdr:from>
    <xdr:ext cx="476250" cy="476250"/>
    <xdr:pic>
      <xdr:nvPicPr>
        <xdr:cNvPr id="33" name="image119.png">
          <a:extLst>
            <a:ext uri="{FF2B5EF4-FFF2-40B4-BE49-F238E27FC236}">
              <a16:creationId xmlns:a16="http://schemas.microsoft.com/office/drawing/2014/main" id="{00000000-0008-0000-0B00-000021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33</xdr:row>
      <xdr:rowOff>0</xdr:rowOff>
    </xdr:from>
    <xdr:ext cx="476250" cy="476250"/>
    <xdr:pic>
      <xdr:nvPicPr>
        <xdr:cNvPr id="34" name="image126.png">
          <a:extLst>
            <a:ext uri="{FF2B5EF4-FFF2-40B4-BE49-F238E27FC236}">
              <a16:creationId xmlns:a16="http://schemas.microsoft.com/office/drawing/2014/main" id="{00000000-0008-0000-0B00-000022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34</xdr:row>
      <xdr:rowOff>0</xdr:rowOff>
    </xdr:from>
    <xdr:ext cx="476250" cy="476250"/>
    <xdr:pic>
      <xdr:nvPicPr>
        <xdr:cNvPr id="35" name="image117.jpg">
          <a:extLst>
            <a:ext uri="{FF2B5EF4-FFF2-40B4-BE49-F238E27FC236}">
              <a16:creationId xmlns:a16="http://schemas.microsoft.com/office/drawing/2014/main" id="{00000000-0008-0000-0B00-000023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35</xdr:row>
      <xdr:rowOff>0</xdr:rowOff>
    </xdr:from>
    <xdr:ext cx="476250" cy="476250"/>
    <xdr:pic>
      <xdr:nvPicPr>
        <xdr:cNvPr id="36" name="image90.jpg">
          <a:extLst>
            <a:ext uri="{FF2B5EF4-FFF2-40B4-BE49-F238E27FC236}">
              <a16:creationId xmlns:a16="http://schemas.microsoft.com/office/drawing/2014/main" id="{00000000-0008-0000-0B00-000024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36</xdr:row>
      <xdr:rowOff>0</xdr:rowOff>
    </xdr:from>
    <xdr:ext cx="476250" cy="476250"/>
    <xdr:pic>
      <xdr:nvPicPr>
        <xdr:cNvPr id="37" name="image62.jpg">
          <a:extLst>
            <a:ext uri="{FF2B5EF4-FFF2-40B4-BE49-F238E27FC236}">
              <a16:creationId xmlns:a16="http://schemas.microsoft.com/office/drawing/2014/main" id="{00000000-0008-0000-0B00-000025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37</xdr:row>
      <xdr:rowOff>0</xdr:rowOff>
    </xdr:from>
    <xdr:ext cx="476250" cy="476250"/>
    <xdr:pic>
      <xdr:nvPicPr>
        <xdr:cNvPr id="38" name="image51.jpg">
          <a:extLst>
            <a:ext uri="{FF2B5EF4-FFF2-40B4-BE49-F238E27FC236}">
              <a16:creationId xmlns:a16="http://schemas.microsoft.com/office/drawing/2014/main" id="{00000000-0008-0000-0B00-000026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38</xdr:row>
      <xdr:rowOff>0</xdr:rowOff>
    </xdr:from>
    <xdr:ext cx="476250" cy="476250"/>
    <xdr:pic>
      <xdr:nvPicPr>
        <xdr:cNvPr id="39" name="image87.jpg">
          <a:extLst>
            <a:ext uri="{FF2B5EF4-FFF2-40B4-BE49-F238E27FC236}">
              <a16:creationId xmlns:a16="http://schemas.microsoft.com/office/drawing/2014/main" id="{00000000-0008-0000-0B00-000027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39</xdr:row>
      <xdr:rowOff>0</xdr:rowOff>
    </xdr:from>
    <xdr:ext cx="476250" cy="476250"/>
    <xdr:pic>
      <xdr:nvPicPr>
        <xdr:cNvPr id="40" name="image218.jpg">
          <a:extLst>
            <a:ext uri="{FF2B5EF4-FFF2-40B4-BE49-F238E27FC236}">
              <a16:creationId xmlns:a16="http://schemas.microsoft.com/office/drawing/2014/main" id="{00000000-0008-0000-0B00-000028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40</xdr:row>
      <xdr:rowOff>0</xdr:rowOff>
    </xdr:from>
    <xdr:ext cx="476250" cy="476250"/>
    <xdr:pic>
      <xdr:nvPicPr>
        <xdr:cNvPr id="41" name="image135.png">
          <a:extLst>
            <a:ext uri="{FF2B5EF4-FFF2-40B4-BE49-F238E27FC236}">
              <a16:creationId xmlns:a16="http://schemas.microsoft.com/office/drawing/2014/main" id="{00000000-0008-0000-0B00-000029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41</xdr:row>
      <xdr:rowOff>0</xdr:rowOff>
    </xdr:from>
    <xdr:ext cx="476250" cy="476250"/>
    <xdr:pic>
      <xdr:nvPicPr>
        <xdr:cNvPr id="42" name="image107.jpg">
          <a:extLst>
            <a:ext uri="{FF2B5EF4-FFF2-40B4-BE49-F238E27FC236}">
              <a16:creationId xmlns:a16="http://schemas.microsoft.com/office/drawing/2014/main" id="{00000000-0008-0000-0B00-00002A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xdr:col>
      <xdr:colOff>0</xdr:colOff>
      <xdr:row>42</xdr:row>
      <xdr:rowOff>0</xdr:rowOff>
    </xdr:from>
    <xdr:ext cx="476250" cy="476250"/>
    <xdr:pic>
      <xdr:nvPicPr>
        <xdr:cNvPr id="43" name="image216.jpg">
          <a:extLst>
            <a:ext uri="{FF2B5EF4-FFF2-40B4-BE49-F238E27FC236}">
              <a16:creationId xmlns:a16="http://schemas.microsoft.com/office/drawing/2014/main" id="{00000000-0008-0000-0B00-00002B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43</xdr:row>
      <xdr:rowOff>0</xdr:rowOff>
    </xdr:from>
    <xdr:ext cx="476250" cy="476250"/>
    <xdr:pic>
      <xdr:nvPicPr>
        <xdr:cNvPr id="44" name="image121.jpg">
          <a:extLst>
            <a:ext uri="{FF2B5EF4-FFF2-40B4-BE49-F238E27FC236}">
              <a16:creationId xmlns:a16="http://schemas.microsoft.com/office/drawing/2014/main" id="{00000000-0008-0000-0B00-00002C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44</xdr:row>
      <xdr:rowOff>0</xdr:rowOff>
    </xdr:from>
    <xdr:ext cx="476250" cy="476250"/>
    <xdr:pic>
      <xdr:nvPicPr>
        <xdr:cNvPr id="45" name="image121.jpg">
          <a:extLst>
            <a:ext uri="{FF2B5EF4-FFF2-40B4-BE49-F238E27FC236}">
              <a16:creationId xmlns:a16="http://schemas.microsoft.com/office/drawing/2014/main" id="{00000000-0008-0000-0B00-00002D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45</xdr:row>
      <xdr:rowOff>0</xdr:rowOff>
    </xdr:from>
    <xdr:ext cx="476250" cy="476250"/>
    <xdr:pic>
      <xdr:nvPicPr>
        <xdr:cNvPr id="46" name="image82.jpg">
          <a:extLst>
            <a:ext uri="{FF2B5EF4-FFF2-40B4-BE49-F238E27FC236}">
              <a16:creationId xmlns:a16="http://schemas.microsoft.com/office/drawing/2014/main" id="{00000000-0008-0000-0B00-00002E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xdr:col>
      <xdr:colOff>0</xdr:colOff>
      <xdr:row>46</xdr:row>
      <xdr:rowOff>0</xdr:rowOff>
    </xdr:from>
    <xdr:ext cx="476250" cy="476250"/>
    <xdr:pic>
      <xdr:nvPicPr>
        <xdr:cNvPr id="47" name="image121.jpg">
          <a:extLst>
            <a:ext uri="{FF2B5EF4-FFF2-40B4-BE49-F238E27FC236}">
              <a16:creationId xmlns:a16="http://schemas.microsoft.com/office/drawing/2014/main" id="{00000000-0008-0000-0B00-00002F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47</xdr:row>
      <xdr:rowOff>0</xdr:rowOff>
    </xdr:from>
    <xdr:ext cx="476250" cy="476250"/>
    <xdr:pic>
      <xdr:nvPicPr>
        <xdr:cNvPr id="48" name="image133.jpg">
          <a:extLst>
            <a:ext uri="{FF2B5EF4-FFF2-40B4-BE49-F238E27FC236}">
              <a16:creationId xmlns:a16="http://schemas.microsoft.com/office/drawing/2014/main" id="{00000000-0008-0000-0B00-000030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48</xdr:row>
      <xdr:rowOff>0</xdr:rowOff>
    </xdr:from>
    <xdr:ext cx="476250" cy="476250"/>
    <xdr:pic>
      <xdr:nvPicPr>
        <xdr:cNvPr id="49" name="image89.jpg">
          <a:extLst>
            <a:ext uri="{FF2B5EF4-FFF2-40B4-BE49-F238E27FC236}">
              <a16:creationId xmlns:a16="http://schemas.microsoft.com/office/drawing/2014/main" id="{00000000-0008-0000-0B00-000031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49</xdr:row>
      <xdr:rowOff>0</xdr:rowOff>
    </xdr:from>
    <xdr:ext cx="476250" cy="476250"/>
    <xdr:pic>
      <xdr:nvPicPr>
        <xdr:cNvPr id="50" name="image113.jpg">
          <a:extLst>
            <a:ext uri="{FF2B5EF4-FFF2-40B4-BE49-F238E27FC236}">
              <a16:creationId xmlns:a16="http://schemas.microsoft.com/office/drawing/2014/main" id="{00000000-0008-0000-0B00-000032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50</xdr:row>
      <xdr:rowOff>0</xdr:rowOff>
    </xdr:from>
    <xdr:ext cx="476250" cy="476250"/>
    <xdr:pic>
      <xdr:nvPicPr>
        <xdr:cNvPr id="51" name="image93.jpg">
          <a:extLst>
            <a:ext uri="{FF2B5EF4-FFF2-40B4-BE49-F238E27FC236}">
              <a16:creationId xmlns:a16="http://schemas.microsoft.com/office/drawing/2014/main" id="{00000000-0008-0000-0B00-000033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51</xdr:row>
      <xdr:rowOff>0</xdr:rowOff>
    </xdr:from>
    <xdr:ext cx="476250" cy="476250"/>
    <xdr:pic>
      <xdr:nvPicPr>
        <xdr:cNvPr id="52" name="image85.jpg">
          <a:extLst>
            <a:ext uri="{FF2B5EF4-FFF2-40B4-BE49-F238E27FC236}">
              <a16:creationId xmlns:a16="http://schemas.microsoft.com/office/drawing/2014/main" id="{00000000-0008-0000-0B00-000034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52</xdr:row>
      <xdr:rowOff>0</xdr:rowOff>
    </xdr:from>
    <xdr:ext cx="476250" cy="476250"/>
    <xdr:pic>
      <xdr:nvPicPr>
        <xdr:cNvPr id="53" name="image155.png">
          <a:extLst>
            <a:ext uri="{FF2B5EF4-FFF2-40B4-BE49-F238E27FC236}">
              <a16:creationId xmlns:a16="http://schemas.microsoft.com/office/drawing/2014/main" id="{00000000-0008-0000-0B00-000035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53</xdr:row>
      <xdr:rowOff>0</xdr:rowOff>
    </xdr:from>
    <xdr:ext cx="476250" cy="476250"/>
    <xdr:pic>
      <xdr:nvPicPr>
        <xdr:cNvPr id="54" name="image53.jpg">
          <a:extLst>
            <a:ext uri="{FF2B5EF4-FFF2-40B4-BE49-F238E27FC236}">
              <a16:creationId xmlns:a16="http://schemas.microsoft.com/office/drawing/2014/main" id="{00000000-0008-0000-0B00-000036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54</xdr:row>
      <xdr:rowOff>0</xdr:rowOff>
    </xdr:from>
    <xdr:ext cx="476250" cy="476250"/>
    <xdr:pic>
      <xdr:nvPicPr>
        <xdr:cNvPr id="55" name="image86.jpg">
          <a:extLst>
            <a:ext uri="{FF2B5EF4-FFF2-40B4-BE49-F238E27FC236}">
              <a16:creationId xmlns:a16="http://schemas.microsoft.com/office/drawing/2014/main" id="{00000000-0008-0000-0B00-000037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55</xdr:row>
      <xdr:rowOff>0</xdr:rowOff>
    </xdr:from>
    <xdr:ext cx="476250" cy="476250"/>
    <xdr:pic>
      <xdr:nvPicPr>
        <xdr:cNvPr id="56" name="image97.jpg">
          <a:extLst>
            <a:ext uri="{FF2B5EF4-FFF2-40B4-BE49-F238E27FC236}">
              <a16:creationId xmlns:a16="http://schemas.microsoft.com/office/drawing/2014/main" id="{00000000-0008-0000-0B00-000038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56</xdr:row>
      <xdr:rowOff>0</xdr:rowOff>
    </xdr:from>
    <xdr:ext cx="476250" cy="476250"/>
    <xdr:pic>
      <xdr:nvPicPr>
        <xdr:cNvPr id="57" name="image205.jpg">
          <a:extLst>
            <a:ext uri="{FF2B5EF4-FFF2-40B4-BE49-F238E27FC236}">
              <a16:creationId xmlns:a16="http://schemas.microsoft.com/office/drawing/2014/main" id="{00000000-0008-0000-0B00-000039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57</xdr:row>
      <xdr:rowOff>0</xdr:rowOff>
    </xdr:from>
    <xdr:ext cx="476250" cy="476250"/>
    <xdr:pic>
      <xdr:nvPicPr>
        <xdr:cNvPr id="58" name="image123.jpg">
          <a:extLst>
            <a:ext uri="{FF2B5EF4-FFF2-40B4-BE49-F238E27FC236}">
              <a16:creationId xmlns:a16="http://schemas.microsoft.com/office/drawing/2014/main" id="{00000000-0008-0000-0B00-00003A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58</xdr:row>
      <xdr:rowOff>0</xdr:rowOff>
    </xdr:from>
    <xdr:ext cx="476250" cy="476250"/>
    <xdr:pic>
      <xdr:nvPicPr>
        <xdr:cNvPr id="59" name="image219.jpg">
          <a:extLst>
            <a:ext uri="{FF2B5EF4-FFF2-40B4-BE49-F238E27FC236}">
              <a16:creationId xmlns:a16="http://schemas.microsoft.com/office/drawing/2014/main" id="{00000000-0008-0000-0B00-00003B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xdr:col>
      <xdr:colOff>0</xdr:colOff>
      <xdr:row>59</xdr:row>
      <xdr:rowOff>0</xdr:rowOff>
    </xdr:from>
    <xdr:ext cx="476250" cy="476250"/>
    <xdr:pic>
      <xdr:nvPicPr>
        <xdr:cNvPr id="60" name="image14.jpg">
          <a:extLst>
            <a:ext uri="{FF2B5EF4-FFF2-40B4-BE49-F238E27FC236}">
              <a16:creationId xmlns:a16="http://schemas.microsoft.com/office/drawing/2014/main" id="{00000000-0008-0000-0B00-00003C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60</xdr:row>
      <xdr:rowOff>0</xdr:rowOff>
    </xdr:from>
    <xdr:ext cx="476250" cy="476250"/>
    <xdr:pic>
      <xdr:nvPicPr>
        <xdr:cNvPr id="61" name="image238.jpg">
          <a:extLst>
            <a:ext uri="{FF2B5EF4-FFF2-40B4-BE49-F238E27FC236}">
              <a16:creationId xmlns:a16="http://schemas.microsoft.com/office/drawing/2014/main" id="{00000000-0008-0000-0B00-00003D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61</xdr:row>
      <xdr:rowOff>0</xdr:rowOff>
    </xdr:from>
    <xdr:ext cx="476250" cy="476250"/>
    <xdr:pic>
      <xdr:nvPicPr>
        <xdr:cNvPr id="62" name="image97.jpg">
          <a:extLst>
            <a:ext uri="{FF2B5EF4-FFF2-40B4-BE49-F238E27FC236}">
              <a16:creationId xmlns:a16="http://schemas.microsoft.com/office/drawing/2014/main" id="{00000000-0008-0000-0B00-00003E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62</xdr:row>
      <xdr:rowOff>0</xdr:rowOff>
    </xdr:from>
    <xdr:ext cx="476250" cy="476250"/>
    <xdr:pic>
      <xdr:nvPicPr>
        <xdr:cNvPr id="63" name="image79.jpg">
          <a:extLst>
            <a:ext uri="{FF2B5EF4-FFF2-40B4-BE49-F238E27FC236}">
              <a16:creationId xmlns:a16="http://schemas.microsoft.com/office/drawing/2014/main" id="{00000000-0008-0000-0B00-00003F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63</xdr:row>
      <xdr:rowOff>0</xdr:rowOff>
    </xdr:from>
    <xdr:ext cx="476250" cy="476250"/>
    <xdr:pic>
      <xdr:nvPicPr>
        <xdr:cNvPr id="64" name="image110.jpg">
          <a:extLst>
            <a:ext uri="{FF2B5EF4-FFF2-40B4-BE49-F238E27FC236}">
              <a16:creationId xmlns:a16="http://schemas.microsoft.com/office/drawing/2014/main" id="{00000000-0008-0000-0B00-000040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64</xdr:row>
      <xdr:rowOff>0</xdr:rowOff>
    </xdr:from>
    <xdr:ext cx="466725" cy="476250"/>
    <xdr:pic>
      <xdr:nvPicPr>
        <xdr:cNvPr id="65" name="image137.png">
          <a:extLst>
            <a:ext uri="{FF2B5EF4-FFF2-40B4-BE49-F238E27FC236}">
              <a16:creationId xmlns:a16="http://schemas.microsoft.com/office/drawing/2014/main" id="{00000000-0008-0000-0B00-000041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xdr:col>
      <xdr:colOff>0</xdr:colOff>
      <xdr:row>65</xdr:row>
      <xdr:rowOff>0</xdr:rowOff>
    </xdr:from>
    <xdr:ext cx="476250" cy="476250"/>
    <xdr:pic>
      <xdr:nvPicPr>
        <xdr:cNvPr id="66" name="image59.jpg">
          <a:extLst>
            <a:ext uri="{FF2B5EF4-FFF2-40B4-BE49-F238E27FC236}">
              <a16:creationId xmlns:a16="http://schemas.microsoft.com/office/drawing/2014/main" id="{00000000-0008-0000-0B00-000042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xdr:col>
      <xdr:colOff>0</xdr:colOff>
      <xdr:row>66</xdr:row>
      <xdr:rowOff>0</xdr:rowOff>
    </xdr:from>
    <xdr:ext cx="476250" cy="476250"/>
    <xdr:pic>
      <xdr:nvPicPr>
        <xdr:cNvPr id="67" name="image236.jpg">
          <a:extLst>
            <a:ext uri="{FF2B5EF4-FFF2-40B4-BE49-F238E27FC236}">
              <a16:creationId xmlns:a16="http://schemas.microsoft.com/office/drawing/2014/main" id="{00000000-0008-0000-0B00-000043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xdr:col>
      <xdr:colOff>0</xdr:colOff>
      <xdr:row>67</xdr:row>
      <xdr:rowOff>0</xdr:rowOff>
    </xdr:from>
    <xdr:ext cx="476250" cy="476250"/>
    <xdr:pic>
      <xdr:nvPicPr>
        <xdr:cNvPr id="68" name="image242.jpg">
          <a:extLst>
            <a:ext uri="{FF2B5EF4-FFF2-40B4-BE49-F238E27FC236}">
              <a16:creationId xmlns:a16="http://schemas.microsoft.com/office/drawing/2014/main" id="{00000000-0008-0000-0B00-000044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xdr:col>
      <xdr:colOff>0</xdr:colOff>
      <xdr:row>68</xdr:row>
      <xdr:rowOff>0</xdr:rowOff>
    </xdr:from>
    <xdr:ext cx="476250" cy="476250"/>
    <xdr:pic>
      <xdr:nvPicPr>
        <xdr:cNvPr id="69" name="image26.jpg">
          <a:extLst>
            <a:ext uri="{FF2B5EF4-FFF2-40B4-BE49-F238E27FC236}">
              <a16:creationId xmlns:a16="http://schemas.microsoft.com/office/drawing/2014/main" id="{00000000-0008-0000-0B00-000045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1</xdr:col>
      <xdr:colOff>0</xdr:colOff>
      <xdr:row>69</xdr:row>
      <xdr:rowOff>0</xdr:rowOff>
    </xdr:from>
    <xdr:ext cx="476250" cy="476250"/>
    <xdr:pic>
      <xdr:nvPicPr>
        <xdr:cNvPr id="70" name="image127.jpg">
          <a:extLst>
            <a:ext uri="{FF2B5EF4-FFF2-40B4-BE49-F238E27FC236}">
              <a16:creationId xmlns:a16="http://schemas.microsoft.com/office/drawing/2014/main" id="{00000000-0008-0000-0B00-000046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xdr:col>
      <xdr:colOff>0</xdr:colOff>
      <xdr:row>70</xdr:row>
      <xdr:rowOff>0</xdr:rowOff>
    </xdr:from>
    <xdr:ext cx="476250" cy="476250"/>
    <xdr:pic>
      <xdr:nvPicPr>
        <xdr:cNvPr id="71" name="image105.jpg">
          <a:extLst>
            <a:ext uri="{FF2B5EF4-FFF2-40B4-BE49-F238E27FC236}">
              <a16:creationId xmlns:a16="http://schemas.microsoft.com/office/drawing/2014/main" id="{00000000-0008-0000-0B00-000047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1</xdr:col>
      <xdr:colOff>0</xdr:colOff>
      <xdr:row>71</xdr:row>
      <xdr:rowOff>0</xdr:rowOff>
    </xdr:from>
    <xdr:ext cx="476250" cy="476250"/>
    <xdr:pic>
      <xdr:nvPicPr>
        <xdr:cNvPr id="72" name="image138.png">
          <a:extLst>
            <a:ext uri="{FF2B5EF4-FFF2-40B4-BE49-F238E27FC236}">
              <a16:creationId xmlns:a16="http://schemas.microsoft.com/office/drawing/2014/main" id="{00000000-0008-0000-0B00-000048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1</xdr:col>
      <xdr:colOff>0</xdr:colOff>
      <xdr:row>72</xdr:row>
      <xdr:rowOff>0</xdr:rowOff>
    </xdr:from>
    <xdr:ext cx="476250" cy="476250"/>
    <xdr:pic>
      <xdr:nvPicPr>
        <xdr:cNvPr id="73" name="image76.jpg">
          <a:extLst>
            <a:ext uri="{FF2B5EF4-FFF2-40B4-BE49-F238E27FC236}">
              <a16:creationId xmlns:a16="http://schemas.microsoft.com/office/drawing/2014/main" id="{00000000-0008-0000-0B00-000049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1</xdr:col>
      <xdr:colOff>0</xdr:colOff>
      <xdr:row>73</xdr:row>
      <xdr:rowOff>0</xdr:rowOff>
    </xdr:from>
    <xdr:ext cx="476250" cy="476250"/>
    <xdr:pic>
      <xdr:nvPicPr>
        <xdr:cNvPr id="74" name="image124.jpg">
          <a:extLst>
            <a:ext uri="{FF2B5EF4-FFF2-40B4-BE49-F238E27FC236}">
              <a16:creationId xmlns:a16="http://schemas.microsoft.com/office/drawing/2014/main" id="{00000000-0008-0000-0B00-00004A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1</xdr:col>
      <xdr:colOff>0</xdr:colOff>
      <xdr:row>74</xdr:row>
      <xdr:rowOff>0</xdr:rowOff>
    </xdr:from>
    <xdr:ext cx="476250" cy="476250"/>
    <xdr:pic>
      <xdr:nvPicPr>
        <xdr:cNvPr id="75" name="image124.jpg">
          <a:extLst>
            <a:ext uri="{FF2B5EF4-FFF2-40B4-BE49-F238E27FC236}">
              <a16:creationId xmlns:a16="http://schemas.microsoft.com/office/drawing/2014/main" id="{00000000-0008-0000-0B00-00004B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1</xdr:col>
      <xdr:colOff>0</xdr:colOff>
      <xdr:row>75</xdr:row>
      <xdr:rowOff>0</xdr:rowOff>
    </xdr:from>
    <xdr:ext cx="476250" cy="476250"/>
    <xdr:pic>
      <xdr:nvPicPr>
        <xdr:cNvPr id="76" name="image49.jpg">
          <a:extLst>
            <a:ext uri="{FF2B5EF4-FFF2-40B4-BE49-F238E27FC236}">
              <a16:creationId xmlns:a16="http://schemas.microsoft.com/office/drawing/2014/main" id="{00000000-0008-0000-0B00-00004C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76</xdr:row>
      <xdr:rowOff>0</xdr:rowOff>
    </xdr:from>
    <xdr:ext cx="476250" cy="476250"/>
    <xdr:pic>
      <xdr:nvPicPr>
        <xdr:cNvPr id="77" name="image49.jpg">
          <a:extLst>
            <a:ext uri="{FF2B5EF4-FFF2-40B4-BE49-F238E27FC236}">
              <a16:creationId xmlns:a16="http://schemas.microsoft.com/office/drawing/2014/main" id="{00000000-0008-0000-0B00-00004D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77</xdr:row>
      <xdr:rowOff>0</xdr:rowOff>
    </xdr:from>
    <xdr:ext cx="476250" cy="476250"/>
    <xdr:pic>
      <xdr:nvPicPr>
        <xdr:cNvPr id="78" name="image147.png">
          <a:extLst>
            <a:ext uri="{FF2B5EF4-FFF2-40B4-BE49-F238E27FC236}">
              <a16:creationId xmlns:a16="http://schemas.microsoft.com/office/drawing/2014/main" id="{00000000-0008-0000-0B00-00004E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1</xdr:col>
      <xdr:colOff>0</xdr:colOff>
      <xdr:row>78</xdr:row>
      <xdr:rowOff>0</xdr:rowOff>
    </xdr:from>
    <xdr:ext cx="476250" cy="476250"/>
    <xdr:pic>
      <xdr:nvPicPr>
        <xdr:cNvPr id="79" name="image251.png">
          <a:extLst>
            <a:ext uri="{FF2B5EF4-FFF2-40B4-BE49-F238E27FC236}">
              <a16:creationId xmlns:a16="http://schemas.microsoft.com/office/drawing/2014/main" id="{00000000-0008-0000-0B00-00004F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1</xdr:col>
      <xdr:colOff>0</xdr:colOff>
      <xdr:row>79</xdr:row>
      <xdr:rowOff>0</xdr:rowOff>
    </xdr:from>
    <xdr:ext cx="476250" cy="476250"/>
    <xdr:pic>
      <xdr:nvPicPr>
        <xdr:cNvPr id="80" name="image147.png">
          <a:extLst>
            <a:ext uri="{FF2B5EF4-FFF2-40B4-BE49-F238E27FC236}">
              <a16:creationId xmlns:a16="http://schemas.microsoft.com/office/drawing/2014/main" id="{00000000-0008-0000-0B00-000050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1</xdr:col>
      <xdr:colOff>0</xdr:colOff>
      <xdr:row>80</xdr:row>
      <xdr:rowOff>0</xdr:rowOff>
    </xdr:from>
    <xdr:ext cx="476250" cy="476250"/>
    <xdr:pic>
      <xdr:nvPicPr>
        <xdr:cNvPr id="81" name="image249.png">
          <a:extLst>
            <a:ext uri="{FF2B5EF4-FFF2-40B4-BE49-F238E27FC236}">
              <a16:creationId xmlns:a16="http://schemas.microsoft.com/office/drawing/2014/main" id="{00000000-0008-0000-0B00-000051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1</xdr:col>
      <xdr:colOff>0</xdr:colOff>
      <xdr:row>1</xdr:row>
      <xdr:rowOff>0</xdr:rowOff>
    </xdr:from>
    <xdr:ext cx="476250" cy="476250"/>
    <xdr:pic>
      <xdr:nvPicPr>
        <xdr:cNvPr id="2" name="image154.png">
          <a:extLst>
            <a:ext uri="{FF2B5EF4-FFF2-40B4-BE49-F238E27FC236}">
              <a16:creationId xmlns:a16="http://schemas.microsoft.com/office/drawing/2014/main" id="{00000000-0008-0000-0C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xdr:row>
      <xdr:rowOff>0</xdr:rowOff>
    </xdr:from>
    <xdr:ext cx="476250" cy="476250"/>
    <xdr:pic>
      <xdr:nvPicPr>
        <xdr:cNvPr id="3" name="image22.jpg">
          <a:extLst>
            <a:ext uri="{FF2B5EF4-FFF2-40B4-BE49-F238E27FC236}">
              <a16:creationId xmlns:a16="http://schemas.microsoft.com/office/drawing/2014/main" id="{00000000-0008-0000-0C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xdr:row>
      <xdr:rowOff>0</xdr:rowOff>
    </xdr:from>
    <xdr:ext cx="476250" cy="476250"/>
    <xdr:pic>
      <xdr:nvPicPr>
        <xdr:cNvPr id="4" name="image14.jpg">
          <a:extLst>
            <a:ext uri="{FF2B5EF4-FFF2-40B4-BE49-F238E27FC236}">
              <a16:creationId xmlns:a16="http://schemas.microsoft.com/office/drawing/2014/main" id="{00000000-0008-0000-0C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4</xdr:row>
      <xdr:rowOff>0</xdr:rowOff>
    </xdr:from>
    <xdr:ext cx="476250" cy="476250"/>
    <xdr:pic>
      <xdr:nvPicPr>
        <xdr:cNvPr id="5" name="image153.png">
          <a:extLst>
            <a:ext uri="{FF2B5EF4-FFF2-40B4-BE49-F238E27FC236}">
              <a16:creationId xmlns:a16="http://schemas.microsoft.com/office/drawing/2014/main" id="{00000000-0008-0000-0C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5</xdr:row>
      <xdr:rowOff>0</xdr:rowOff>
    </xdr:from>
    <xdr:ext cx="476250" cy="476250"/>
    <xdr:pic>
      <xdr:nvPicPr>
        <xdr:cNvPr id="6" name="image154.png">
          <a:extLst>
            <a:ext uri="{FF2B5EF4-FFF2-40B4-BE49-F238E27FC236}">
              <a16:creationId xmlns:a16="http://schemas.microsoft.com/office/drawing/2014/main" id="{00000000-0008-0000-0C00-00000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xdr:row>
      <xdr:rowOff>0</xdr:rowOff>
    </xdr:from>
    <xdr:ext cx="476250" cy="476250"/>
    <xdr:pic>
      <xdr:nvPicPr>
        <xdr:cNvPr id="7" name="image83.jpg">
          <a:extLst>
            <a:ext uri="{FF2B5EF4-FFF2-40B4-BE49-F238E27FC236}">
              <a16:creationId xmlns:a16="http://schemas.microsoft.com/office/drawing/2014/main" id="{00000000-0008-0000-0C00-00000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xdr:row>
      <xdr:rowOff>0</xdr:rowOff>
    </xdr:from>
    <xdr:ext cx="476250" cy="476250"/>
    <xdr:pic>
      <xdr:nvPicPr>
        <xdr:cNvPr id="8" name="image259.png">
          <a:extLst>
            <a:ext uri="{FF2B5EF4-FFF2-40B4-BE49-F238E27FC236}">
              <a16:creationId xmlns:a16="http://schemas.microsoft.com/office/drawing/2014/main" id="{00000000-0008-0000-0C00-00000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8</xdr:row>
      <xdr:rowOff>0</xdr:rowOff>
    </xdr:from>
    <xdr:ext cx="476250" cy="476250"/>
    <xdr:pic>
      <xdr:nvPicPr>
        <xdr:cNvPr id="9" name="image259.png">
          <a:extLst>
            <a:ext uri="{FF2B5EF4-FFF2-40B4-BE49-F238E27FC236}">
              <a16:creationId xmlns:a16="http://schemas.microsoft.com/office/drawing/2014/main" id="{00000000-0008-0000-0C00-000009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9</xdr:row>
      <xdr:rowOff>0</xdr:rowOff>
    </xdr:from>
    <xdr:ext cx="476250" cy="476250"/>
    <xdr:pic>
      <xdr:nvPicPr>
        <xdr:cNvPr id="10" name="image35.jpg">
          <a:extLst>
            <a:ext uri="{FF2B5EF4-FFF2-40B4-BE49-F238E27FC236}">
              <a16:creationId xmlns:a16="http://schemas.microsoft.com/office/drawing/2014/main" id="{00000000-0008-0000-0C00-00000A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10</xdr:row>
      <xdr:rowOff>0</xdr:rowOff>
    </xdr:from>
    <xdr:ext cx="476250" cy="476250"/>
    <xdr:pic>
      <xdr:nvPicPr>
        <xdr:cNvPr id="11" name="image1.jpg">
          <a:extLst>
            <a:ext uri="{FF2B5EF4-FFF2-40B4-BE49-F238E27FC236}">
              <a16:creationId xmlns:a16="http://schemas.microsoft.com/office/drawing/2014/main" id="{00000000-0008-0000-0C00-00000B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xdr:row>
      <xdr:rowOff>0</xdr:rowOff>
    </xdr:from>
    <xdr:ext cx="476250" cy="476250"/>
    <xdr:pic>
      <xdr:nvPicPr>
        <xdr:cNvPr id="12" name="image22.jpg">
          <a:extLst>
            <a:ext uri="{FF2B5EF4-FFF2-40B4-BE49-F238E27FC236}">
              <a16:creationId xmlns:a16="http://schemas.microsoft.com/office/drawing/2014/main" id="{00000000-0008-0000-0C00-00000C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12</xdr:row>
      <xdr:rowOff>0</xdr:rowOff>
    </xdr:from>
    <xdr:ext cx="476250" cy="476250"/>
    <xdr:pic>
      <xdr:nvPicPr>
        <xdr:cNvPr id="13" name="image8.jpg">
          <a:extLst>
            <a:ext uri="{FF2B5EF4-FFF2-40B4-BE49-F238E27FC236}">
              <a16:creationId xmlns:a16="http://schemas.microsoft.com/office/drawing/2014/main" id="{00000000-0008-0000-0C00-00000D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13</xdr:row>
      <xdr:rowOff>0</xdr:rowOff>
    </xdr:from>
    <xdr:ext cx="476250" cy="476250"/>
    <xdr:pic>
      <xdr:nvPicPr>
        <xdr:cNvPr id="14" name="image261.jpg">
          <a:extLst>
            <a:ext uri="{FF2B5EF4-FFF2-40B4-BE49-F238E27FC236}">
              <a16:creationId xmlns:a16="http://schemas.microsoft.com/office/drawing/2014/main" id="{00000000-0008-0000-0C00-00000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14</xdr:row>
      <xdr:rowOff>0</xdr:rowOff>
    </xdr:from>
    <xdr:ext cx="476250" cy="476250"/>
    <xdr:pic>
      <xdr:nvPicPr>
        <xdr:cNvPr id="15" name="image194.jpg">
          <a:extLst>
            <a:ext uri="{FF2B5EF4-FFF2-40B4-BE49-F238E27FC236}">
              <a16:creationId xmlns:a16="http://schemas.microsoft.com/office/drawing/2014/main" id="{00000000-0008-0000-0C00-00000F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15</xdr:row>
      <xdr:rowOff>0</xdr:rowOff>
    </xdr:from>
    <xdr:ext cx="476250" cy="476250"/>
    <xdr:pic>
      <xdr:nvPicPr>
        <xdr:cNvPr id="16" name="image262.jpg">
          <a:extLst>
            <a:ext uri="{FF2B5EF4-FFF2-40B4-BE49-F238E27FC236}">
              <a16:creationId xmlns:a16="http://schemas.microsoft.com/office/drawing/2014/main" id="{00000000-0008-0000-0C00-000010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16</xdr:row>
      <xdr:rowOff>0</xdr:rowOff>
    </xdr:from>
    <xdr:ext cx="466725" cy="476250"/>
    <xdr:pic>
      <xdr:nvPicPr>
        <xdr:cNvPr id="17" name="image164.png">
          <a:extLst>
            <a:ext uri="{FF2B5EF4-FFF2-40B4-BE49-F238E27FC236}">
              <a16:creationId xmlns:a16="http://schemas.microsoft.com/office/drawing/2014/main" id="{00000000-0008-0000-0C00-000011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17</xdr:row>
      <xdr:rowOff>0</xdr:rowOff>
    </xdr:from>
    <xdr:ext cx="476250" cy="476250"/>
    <xdr:pic>
      <xdr:nvPicPr>
        <xdr:cNvPr id="18" name="image194.jpg">
          <a:extLst>
            <a:ext uri="{FF2B5EF4-FFF2-40B4-BE49-F238E27FC236}">
              <a16:creationId xmlns:a16="http://schemas.microsoft.com/office/drawing/2014/main" id="{00000000-0008-0000-0C00-00001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18</xdr:row>
      <xdr:rowOff>0</xdr:rowOff>
    </xdr:from>
    <xdr:ext cx="476250" cy="476250"/>
    <xdr:pic>
      <xdr:nvPicPr>
        <xdr:cNvPr id="19" name="image8.jpg">
          <a:extLst>
            <a:ext uri="{FF2B5EF4-FFF2-40B4-BE49-F238E27FC236}">
              <a16:creationId xmlns:a16="http://schemas.microsoft.com/office/drawing/2014/main" id="{00000000-0008-0000-0C00-00001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19</xdr:row>
      <xdr:rowOff>0</xdr:rowOff>
    </xdr:from>
    <xdr:ext cx="476250" cy="476250"/>
    <xdr:pic>
      <xdr:nvPicPr>
        <xdr:cNvPr id="20" name="image20.png">
          <a:extLst>
            <a:ext uri="{FF2B5EF4-FFF2-40B4-BE49-F238E27FC236}">
              <a16:creationId xmlns:a16="http://schemas.microsoft.com/office/drawing/2014/main" id="{00000000-0008-0000-0C00-000014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20</xdr:row>
      <xdr:rowOff>0</xdr:rowOff>
    </xdr:from>
    <xdr:ext cx="476250" cy="476250"/>
    <xdr:pic>
      <xdr:nvPicPr>
        <xdr:cNvPr id="21" name="image20.png">
          <a:extLst>
            <a:ext uri="{FF2B5EF4-FFF2-40B4-BE49-F238E27FC236}">
              <a16:creationId xmlns:a16="http://schemas.microsoft.com/office/drawing/2014/main" id="{00000000-0008-0000-0C00-000015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21</xdr:row>
      <xdr:rowOff>0</xdr:rowOff>
    </xdr:from>
    <xdr:ext cx="476250" cy="476250"/>
    <xdr:pic>
      <xdr:nvPicPr>
        <xdr:cNvPr id="22" name="image8.jpg">
          <a:extLst>
            <a:ext uri="{FF2B5EF4-FFF2-40B4-BE49-F238E27FC236}">
              <a16:creationId xmlns:a16="http://schemas.microsoft.com/office/drawing/2014/main" id="{00000000-0008-0000-0C00-000016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22</xdr:row>
      <xdr:rowOff>0</xdr:rowOff>
    </xdr:from>
    <xdr:ext cx="476250" cy="476250"/>
    <xdr:pic>
      <xdr:nvPicPr>
        <xdr:cNvPr id="23" name="image154.png">
          <a:extLst>
            <a:ext uri="{FF2B5EF4-FFF2-40B4-BE49-F238E27FC236}">
              <a16:creationId xmlns:a16="http://schemas.microsoft.com/office/drawing/2014/main" id="{00000000-0008-0000-0C00-00001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23</xdr:row>
      <xdr:rowOff>0</xdr:rowOff>
    </xdr:from>
    <xdr:ext cx="476250" cy="476250"/>
    <xdr:pic>
      <xdr:nvPicPr>
        <xdr:cNvPr id="24" name="image8.jpg">
          <a:extLst>
            <a:ext uri="{FF2B5EF4-FFF2-40B4-BE49-F238E27FC236}">
              <a16:creationId xmlns:a16="http://schemas.microsoft.com/office/drawing/2014/main" id="{00000000-0008-0000-0C00-000018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24</xdr:row>
      <xdr:rowOff>0</xdr:rowOff>
    </xdr:from>
    <xdr:ext cx="476250" cy="476250"/>
    <xdr:pic>
      <xdr:nvPicPr>
        <xdr:cNvPr id="25" name="image20.png">
          <a:extLst>
            <a:ext uri="{FF2B5EF4-FFF2-40B4-BE49-F238E27FC236}">
              <a16:creationId xmlns:a16="http://schemas.microsoft.com/office/drawing/2014/main" id="{00000000-0008-0000-0C00-000019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25</xdr:row>
      <xdr:rowOff>0</xdr:rowOff>
    </xdr:from>
    <xdr:ext cx="476250" cy="476250"/>
    <xdr:pic>
      <xdr:nvPicPr>
        <xdr:cNvPr id="26" name="image20.png">
          <a:extLst>
            <a:ext uri="{FF2B5EF4-FFF2-40B4-BE49-F238E27FC236}">
              <a16:creationId xmlns:a16="http://schemas.microsoft.com/office/drawing/2014/main" id="{00000000-0008-0000-0C00-00001A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26</xdr:row>
      <xdr:rowOff>0</xdr:rowOff>
    </xdr:from>
    <xdr:ext cx="476250" cy="476250"/>
    <xdr:pic>
      <xdr:nvPicPr>
        <xdr:cNvPr id="27" name="image36.jpg">
          <a:extLst>
            <a:ext uri="{FF2B5EF4-FFF2-40B4-BE49-F238E27FC236}">
              <a16:creationId xmlns:a16="http://schemas.microsoft.com/office/drawing/2014/main" id="{00000000-0008-0000-0C00-00001B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27</xdr:row>
      <xdr:rowOff>0</xdr:rowOff>
    </xdr:from>
    <xdr:ext cx="476250" cy="476250"/>
    <xdr:pic>
      <xdr:nvPicPr>
        <xdr:cNvPr id="28" name="image8.jpg">
          <a:extLst>
            <a:ext uri="{FF2B5EF4-FFF2-40B4-BE49-F238E27FC236}">
              <a16:creationId xmlns:a16="http://schemas.microsoft.com/office/drawing/2014/main" id="{00000000-0008-0000-0C00-00001C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28</xdr:row>
      <xdr:rowOff>0</xdr:rowOff>
    </xdr:from>
    <xdr:ext cx="476250" cy="476250"/>
    <xdr:pic>
      <xdr:nvPicPr>
        <xdr:cNvPr id="29" name="image80.jpg">
          <a:extLst>
            <a:ext uri="{FF2B5EF4-FFF2-40B4-BE49-F238E27FC236}">
              <a16:creationId xmlns:a16="http://schemas.microsoft.com/office/drawing/2014/main" id="{00000000-0008-0000-0C00-00001D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29</xdr:row>
      <xdr:rowOff>0</xdr:rowOff>
    </xdr:from>
    <xdr:ext cx="476250" cy="476250"/>
    <xdr:pic>
      <xdr:nvPicPr>
        <xdr:cNvPr id="30" name="image20.png">
          <a:extLst>
            <a:ext uri="{FF2B5EF4-FFF2-40B4-BE49-F238E27FC236}">
              <a16:creationId xmlns:a16="http://schemas.microsoft.com/office/drawing/2014/main" id="{00000000-0008-0000-0C00-00001E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30</xdr:row>
      <xdr:rowOff>0</xdr:rowOff>
    </xdr:from>
    <xdr:ext cx="476250" cy="476250"/>
    <xdr:pic>
      <xdr:nvPicPr>
        <xdr:cNvPr id="31" name="image14.jpg">
          <a:extLst>
            <a:ext uri="{FF2B5EF4-FFF2-40B4-BE49-F238E27FC236}">
              <a16:creationId xmlns:a16="http://schemas.microsoft.com/office/drawing/2014/main" id="{00000000-0008-0000-0C00-00001F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31</xdr:row>
      <xdr:rowOff>0</xdr:rowOff>
    </xdr:from>
    <xdr:ext cx="476250" cy="476250"/>
    <xdr:pic>
      <xdr:nvPicPr>
        <xdr:cNvPr id="32" name="image263.jpg">
          <a:extLst>
            <a:ext uri="{FF2B5EF4-FFF2-40B4-BE49-F238E27FC236}">
              <a16:creationId xmlns:a16="http://schemas.microsoft.com/office/drawing/2014/main" id="{00000000-0008-0000-0C00-000020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32</xdr:row>
      <xdr:rowOff>0</xdr:rowOff>
    </xdr:from>
    <xdr:ext cx="476250" cy="476250"/>
    <xdr:pic>
      <xdr:nvPicPr>
        <xdr:cNvPr id="33" name="image120.jpg">
          <a:extLst>
            <a:ext uri="{FF2B5EF4-FFF2-40B4-BE49-F238E27FC236}">
              <a16:creationId xmlns:a16="http://schemas.microsoft.com/office/drawing/2014/main" id="{00000000-0008-0000-0C00-000021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33</xdr:row>
      <xdr:rowOff>0</xdr:rowOff>
    </xdr:from>
    <xdr:ext cx="476250" cy="476250"/>
    <xdr:pic>
      <xdr:nvPicPr>
        <xdr:cNvPr id="34" name="image46.jpg">
          <a:extLst>
            <a:ext uri="{FF2B5EF4-FFF2-40B4-BE49-F238E27FC236}">
              <a16:creationId xmlns:a16="http://schemas.microsoft.com/office/drawing/2014/main" id="{00000000-0008-0000-0C00-000022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34</xdr:row>
      <xdr:rowOff>0</xdr:rowOff>
    </xdr:from>
    <xdr:ext cx="476250" cy="476250"/>
    <xdr:pic>
      <xdr:nvPicPr>
        <xdr:cNvPr id="35" name="image46.jpg">
          <a:extLst>
            <a:ext uri="{FF2B5EF4-FFF2-40B4-BE49-F238E27FC236}">
              <a16:creationId xmlns:a16="http://schemas.microsoft.com/office/drawing/2014/main" id="{00000000-0008-0000-0C00-000023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35</xdr:row>
      <xdr:rowOff>0</xdr:rowOff>
    </xdr:from>
    <xdr:ext cx="476250" cy="476250"/>
    <xdr:pic>
      <xdr:nvPicPr>
        <xdr:cNvPr id="36" name="image26.jpg">
          <a:extLst>
            <a:ext uri="{FF2B5EF4-FFF2-40B4-BE49-F238E27FC236}">
              <a16:creationId xmlns:a16="http://schemas.microsoft.com/office/drawing/2014/main" id="{00000000-0008-0000-0C00-000024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36</xdr:row>
      <xdr:rowOff>0</xdr:rowOff>
    </xdr:from>
    <xdr:ext cx="476250" cy="476250"/>
    <xdr:pic>
      <xdr:nvPicPr>
        <xdr:cNvPr id="37" name="image172.png">
          <a:extLst>
            <a:ext uri="{FF2B5EF4-FFF2-40B4-BE49-F238E27FC236}">
              <a16:creationId xmlns:a16="http://schemas.microsoft.com/office/drawing/2014/main" id="{00000000-0008-0000-0C00-000025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37</xdr:row>
      <xdr:rowOff>0</xdr:rowOff>
    </xdr:from>
    <xdr:ext cx="476250" cy="476250"/>
    <xdr:pic>
      <xdr:nvPicPr>
        <xdr:cNvPr id="38" name="image17.jpg">
          <a:extLst>
            <a:ext uri="{FF2B5EF4-FFF2-40B4-BE49-F238E27FC236}">
              <a16:creationId xmlns:a16="http://schemas.microsoft.com/office/drawing/2014/main" id="{00000000-0008-0000-0C00-000026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38</xdr:row>
      <xdr:rowOff>0</xdr:rowOff>
    </xdr:from>
    <xdr:ext cx="476250" cy="476250"/>
    <xdr:pic>
      <xdr:nvPicPr>
        <xdr:cNvPr id="39" name="image20.png">
          <a:extLst>
            <a:ext uri="{FF2B5EF4-FFF2-40B4-BE49-F238E27FC236}">
              <a16:creationId xmlns:a16="http://schemas.microsoft.com/office/drawing/2014/main" id="{00000000-0008-0000-0C00-000027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39</xdr:row>
      <xdr:rowOff>0</xdr:rowOff>
    </xdr:from>
    <xdr:ext cx="476250" cy="476250"/>
    <xdr:pic>
      <xdr:nvPicPr>
        <xdr:cNvPr id="40" name="image120.jpg">
          <a:extLst>
            <a:ext uri="{FF2B5EF4-FFF2-40B4-BE49-F238E27FC236}">
              <a16:creationId xmlns:a16="http://schemas.microsoft.com/office/drawing/2014/main" id="{00000000-0008-0000-0C00-000028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40</xdr:row>
      <xdr:rowOff>0</xdr:rowOff>
    </xdr:from>
    <xdr:ext cx="476250" cy="476250"/>
    <xdr:pic>
      <xdr:nvPicPr>
        <xdr:cNvPr id="41" name="image17.jpg">
          <a:extLst>
            <a:ext uri="{FF2B5EF4-FFF2-40B4-BE49-F238E27FC236}">
              <a16:creationId xmlns:a16="http://schemas.microsoft.com/office/drawing/2014/main" id="{00000000-0008-0000-0C00-000029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41</xdr:row>
      <xdr:rowOff>0</xdr:rowOff>
    </xdr:from>
    <xdr:ext cx="476250" cy="476250"/>
    <xdr:pic>
      <xdr:nvPicPr>
        <xdr:cNvPr id="42" name="image8.jpg">
          <a:extLst>
            <a:ext uri="{FF2B5EF4-FFF2-40B4-BE49-F238E27FC236}">
              <a16:creationId xmlns:a16="http://schemas.microsoft.com/office/drawing/2014/main" id="{00000000-0008-0000-0C00-00002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42</xdr:row>
      <xdr:rowOff>0</xdr:rowOff>
    </xdr:from>
    <xdr:ext cx="476250" cy="476250"/>
    <xdr:pic>
      <xdr:nvPicPr>
        <xdr:cNvPr id="43" name="image20.png">
          <a:extLst>
            <a:ext uri="{FF2B5EF4-FFF2-40B4-BE49-F238E27FC236}">
              <a16:creationId xmlns:a16="http://schemas.microsoft.com/office/drawing/2014/main" id="{00000000-0008-0000-0C00-00002B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43</xdr:row>
      <xdr:rowOff>0</xdr:rowOff>
    </xdr:from>
    <xdr:ext cx="476250" cy="476250"/>
    <xdr:pic>
      <xdr:nvPicPr>
        <xdr:cNvPr id="44" name="image101.jpg">
          <a:extLst>
            <a:ext uri="{FF2B5EF4-FFF2-40B4-BE49-F238E27FC236}">
              <a16:creationId xmlns:a16="http://schemas.microsoft.com/office/drawing/2014/main" id="{00000000-0008-0000-0C00-00002C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xdr:col>
      <xdr:colOff>0</xdr:colOff>
      <xdr:row>44</xdr:row>
      <xdr:rowOff>0</xdr:rowOff>
    </xdr:from>
    <xdr:ext cx="476250" cy="476250"/>
    <xdr:pic>
      <xdr:nvPicPr>
        <xdr:cNvPr id="45" name="image176.png">
          <a:extLst>
            <a:ext uri="{FF2B5EF4-FFF2-40B4-BE49-F238E27FC236}">
              <a16:creationId xmlns:a16="http://schemas.microsoft.com/office/drawing/2014/main" id="{00000000-0008-0000-0C00-00002D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45</xdr:row>
      <xdr:rowOff>0</xdr:rowOff>
    </xdr:from>
    <xdr:ext cx="466725" cy="476250"/>
    <xdr:pic>
      <xdr:nvPicPr>
        <xdr:cNvPr id="46" name="image165.png">
          <a:extLst>
            <a:ext uri="{FF2B5EF4-FFF2-40B4-BE49-F238E27FC236}">
              <a16:creationId xmlns:a16="http://schemas.microsoft.com/office/drawing/2014/main" id="{00000000-0008-0000-0C00-00002E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46</xdr:row>
      <xdr:rowOff>0</xdr:rowOff>
    </xdr:from>
    <xdr:ext cx="476250" cy="476250"/>
    <xdr:pic>
      <xdr:nvPicPr>
        <xdr:cNvPr id="47" name="image46.jpg">
          <a:extLst>
            <a:ext uri="{FF2B5EF4-FFF2-40B4-BE49-F238E27FC236}">
              <a16:creationId xmlns:a16="http://schemas.microsoft.com/office/drawing/2014/main" id="{00000000-0008-0000-0C00-00002F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47</xdr:row>
      <xdr:rowOff>0</xdr:rowOff>
    </xdr:from>
    <xdr:ext cx="476250" cy="476250"/>
    <xdr:pic>
      <xdr:nvPicPr>
        <xdr:cNvPr id="48" name="image117.jpg">
          <a:extLst>
            <a:ext uri="{FF2B5EF4-FFF2-40B4-BE49-F238E27FC236}">
              <a16:creationId xmlns:a16="http://schemas.microsoft.com/office/drawing/2014/main" id="{00000000-0008-0000-0C00-000030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48</xdr:row>
      <xdr:rowOff>0</xdr:rowOff>
    </xdr:from>
    <xdr:ext cx="476250" cy="476250"/>
    <xdr:pic>
      <xdr:nvPicPr>
        <xdr:cNvPr id="49" name="image161.png">
          <a:extLst>
            <a:ext uri="{FF2B5EF4-FFF2-40B4-BE49-F238E27FC236}">
              <a16:creationId xmlns:a16="http://schemas.microsoft.com/office/drawing/2014/main" id="{00000000-0008-0000-0C00-000031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49</xdr:row>
      <xdr:rowOff>0</xdr:rowOff>
    </xdr:from>
    <xdr:ext cx="476250" cy="476250"/>
    <xdr:pic>
      <xdr:nvPicPr>
        <xdr:cNvPr id="50" name="image50.jpg">
          <a:extLst>
            <a:ext uri="{FF2B5EF4-FFF2-40B4-BE49-F238E27FC236}">
              <a16:creationId xmlns:a16="http://schemas.microsoft.com/office/drawing/2014/main" id="{00000000-0008-0000-0C00-000032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50</xdr:row>
      <xdr:rowOff>0</xdr:rowOff>
    </xdr:from>
    <xdr:ext cx="476250" cy="476250"/>
    <xdr:pic>
      <xdr:nvPicPr>
        <xdr:cNvPr id="51" name="image133.jpg">
          <a:extLst>
            <a:ext uri="{FF2B5EF4-FFF2-40B4-BE49-F238E27FC236}">
              <a16:creationId xmlns:a16="http://schemas.microsoft.com/office/drawing/2014/main" id="{00000000-0008-0000-0C00-000033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51</xdr:row>
      <xdr:rowOff>0</xdr:rowOff>
    </xdr:from>
    <xdr:ext cx="476250" cy="476250"/>
    <xdr:pic>
      <xdr:nvPicPr>
        <xdr:cNvPr id="52" name="image50.jpg">
          <a:extLst>
            <a:ext uri="{FF2B5EF4-FFF2-40B4-BE49-F238E27FC236}">
              <a16:creationId xmlns:a16="http://schemas.microsoft.com/office/drawing/2014/main" id="{00000000-0008-0000-0C00-000034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52</xdr:row>
      <xdr:rowOff>0</xdr:rowOff>
    </xdr:from>
    <xdr:ext cx="476250" cy="476250"/>
    <xdr:pic>
      <xdr:nvPicPr>
        <xdr:cNvPr id="53" name="image64.jpg">
          <a:extLst>
            <a:ext uri="{FF2B5EF4-FFF2-40B4-BE49-F238E27FC236}">
              <a16:creationId xmlns:a16="http://schemas.microsoft.com/office/drawing/2014/main" id="{00000000-0008-0000-0C00-000035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53</xdr:row>
      <xdr:rowOff>0</xdr:rowOff>
    </xdr:from>
    <xdr:ext cx="476250" cy="476250"/>
    <xdr:pic>
      <xdr:nvPicPr>
        <xdr:cNvPr id="54" name="image97.jpg">
          <a:extLst>
            <a:ext uri="{FF2B5EF4-FFF2-40B4-BE49-F238E27FC236}">
              <a16:creationId xmlns:a16="http://schemas.microsoft.com/office/drawing/2014/main" id="{00000000-0008-0000-0C00-000036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xdr:col>
      <xdr:colOff>0</xdr:colOff>
      <xdr:row>54</xdr:row>
      <xdr:rowOff>0</xdr:rowOff>
    </xdr:from>
    <xdr:ext cx="476250" cy="476250"/>
    <xdr:pic>
      <xdr:nvPicPr>
        <xdr:cNvPr id="55" name="image20.png">
          <a:extLst>
            <a:ext uri="{FF2B5EF4-FFF2-40B4-BE49-F238E27FC236}">
              <a16:creationId xmlns:a16="http://schemas.microsoft.com/office/drawing/2014/main" id="{00000000-0008-0000-0C00-000037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55</xdr:row>
      <xdr:rowOff>0</xdr:rowOff>
    </xdr:from>
    <xdr:ext cx="476250" cy="476250"/>
    <xdr:pic>
      <xdr:nvPicPr>
        <xdr:cNvPr id="56" name="image53.jpg">
          <a:extLst>
            <a:ext uri="{FF2B5EF4-FFF2-40B4-BE49-F238E27FC236}">
              <a16:creationId xmlns:a16="http://schemas.microsoft.com/office/drawing/2014/main" id="{00000000-0008-0000-0C00-000038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56</xdr:row>
      <xdr:rowOff>0</xdr:rowOff>
    </xdr:from>
    <xdr:ext cx="476250" cy="476250"/>
    <xdr:pic>
      <xdr:nvPicPr>
        <xdr:cNvPr id="57" name="image271.jpg">
          <a:extLst>
            <a:ext uri="{FF2B5EF4-FFF2-40B4-BE49-F238E27FC236}">
              <a16:creationId xmlns:a16="http://schemas.microsoft.com/office/drawing/2014/main" id="{00000000-0008-0000-0C00-000039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57</xdr:row>
      <xdr:rowOff>0</xdr:rowOff>
    </xdr:from>
    <xdr:ext cx="476250" cy="476250"/>
    <xdr:pic>
      <xdr:nvPicPr>
        <xdr:cNvPr id="58" name="image133.jpg">
          <a:extLst>
            <a:ext uri="{FF2B5EF4-FFF2-40B4-BE49-F238E27FC236}">
              <a16:creationId xmlns:a16="http://schemas.microsoft.com/office/drawing/2014/main" id="{00000000-0008-0000-0C00-00003A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58</xdr:row>
      <xdr:rowOff>0</xdr:rowOff>
    </xdr:from>
    <xdr:ext cx="476250" cy="476250"/>
    <xdr:pic>
      <xdr:nvPicPr>
        <xdr:cNvPr id="59" name="image68.jpg">
          <a:extLst>
            <a:ext uri="{FF2B5EF4-FFF2-40B4-BE49-F238E27FC236}">
              <a16:creationId xmlns:a16="http://schemas.microsoft.com/office/drawing/2014/main" id="{00000000-0008-0000-0C00-00003B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xdr:col>
      <xdr:colOff>0</xdr:colOff>
      <xdr:row>59</xdr:row>
      <xdr:rowOff>0</xdr:rowOff>
    </xdr:from>
    <xdr:ext cx="476250" cy="476250"/>
    <xdr:pic>
      <xdr:nvPicPr>
        <xdr:cNvPr id="60" name="image219.jpg">
          <a:extLst>
            <a:ext uri="{FF2B5EF4-FFF2-40B4-BE49-F238E27FC236}">
              <a16:creationId xmlns:a16="http://schemas.microsoft.com/office/drawing/2014/main" id="{00000000-0008-0000-0C00-00003C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60</xdr:row>
      <xdr:rowOff>0</xdr:rowOff>
    </xdr:from>
    <xdr:ext cx="476250" cy="476250"/>
    <xdr:pic>
      <xdr:nvPicPr>
        <xdr:cNvPr id="61" name="image27.jpg">
          <a:extLst>
            <a:ext uri="{FF2B5EF4-FFF2-40B4-BE49-F238E27FC236}">
              <a16:creationId xmlns:a16="http://schemas.microsoft.com/office/drawing/2014/main" id="{00000000-0008-0000-0C00-00003D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61</xdr:row>
      <xdr:rowOff>0</xdr:rowOff>
    </xdr:from>
    <xdr:ext cx="476250" cy="476250"/>
    <xdr:pic>
      <xdr:nvPicPr>
        <xdr:cNvPr id="62" name="image11.jpg">
          <a:extLst>
            <a:ext uri="{FF2B5EF4-FFF2-40B4-BE49-F238E27FC236}">
              <a16:creationId xmlns:a16="http://schemas.microsoft.com/office/drawing/2014/main" id="{00000000-0008-0000-0C00-00003E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62</xdr:row>
      <xdr:rowOff>0</xdr:rowOff>
    </xdr:from>
    <xdr:ext cx="476250" cy="476250"/>
    <xdr:pic>
      <xdr:nvPicPr>
        <xdr:cNvPr id="63" name="image238.jpg">
          <a:extLst>
            <a:ext uri="{FF2B5EF4-FFF2-40B4-BE49-F238E27FC236}">
              <a16:creationId xmlns:a16="http://schemas.microsoft.com/office/drawing/2014/main" id="{00000000-0008-0000-0C00-00003F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63</xdr:row>
      <xdr:rowOff>0</xdr:rowOff>
    </xdr:from>
    <xdr:ext cx="476250" cy="476250"/>
    <xdr:pic>
      <xdr:nvPicPr>
        <xdr:cNvPr id="64" name="image61.jpg">
          <a:extLst>
            <a:ext uri="{FF2B5EF4-FFF2-40B4-BE49-F238E27FC236}">
              <a16:creationId xmlns:a16="http://schemas.microsoft.com/office/drawing/2014/main" id="{00000000-0008-0000-0C00-000040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64</xdr:row>
      <xdr:rowOff>0</xdr:rowOff>
    </xdr:from>
    <xdr:ext cx="476250" cy="476250"/>
    <xdr:pic>
      <xdr:nvPicPr>
        <xdr:cNvPr id="65" name="image236.jpg">
          <a:extLst>
            <a:ext uri="{FF2B5EF4-FFF2-40B4-BE49-F238E27FC236}">
              <a16:creationId xmlns:a16="http://schemas.microsoft.com/office/drawing/2014/main" id="{00000000-0008-0000-0C00-000041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65</xdr:row>
      <xdr:rowOff>0</xdr:rowOff>
    </xdr:from>
    <xdr:ext cx="476250" cy="476250"/>
    <xdr:pic>
      <xdr:nvPicPr>
        <xdr:cNvPr id="66" name="image27.jpg">
          <a:extLst>
            <a:ext uri="{FF2B5EF4-FFF2-40B4-BE49-F238E27FC236}">
              <a16:creationId xmlns:a16="http://schemas.microsoft.com/office/drawing/2014/main" id="{00000000-0008-0000-0C00-000042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66</xdr:row>
      <xdr:rowOff>0</xdr:rowOff>
    </xdr:from>
    <xdr:ext cx="476250" cy="476250"/>
    <xdr:pic>
      <xdr:nvPicPr>
        <xdr:cNvPr id="67" name="image242.jpg">
          <a:extLst>
            <a:ext uri="{FF2B5EF4-FFF2-40B4-BE49-F238E27FC236}">
              <a16:creationId xmlns:a16="http://schemas.microsoft.com/office/drawing/2014/main" id="{00000000-0008-0000-0C00-000043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67</xdr:row>
      <xdr:rowOff>0</xdr:rowOff>
    </xdr:from>
    <xdr:ext cx="466725" cy="476250"/>
    <xdr:pic>
      <xdr:nvPicPr>
        <xdr:cNvPr id="68" name="image276.png">
          <a:extLst>
            <a:ext uri="{FF2B5EF4-FFF2-40B4-BE49-F238E27FC236}">
              <a16:creationId xmlns:a16="http://schemas.microsoft.com/office/drawing/2014/main" id="{00000000-0008-0000-0C00-000044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68</xdr:row>
      <xdr:rowOff>0</xdr:rowOff>
    </xdr:from>
    <xdr:ext cx="466725" cy="476250"/>
    <xdr:pic>
      <xdr:nvPicPr>
        <xdr:cNvPr id="69" name="image150.png">
          <a:extLst>
            <a:ext uri="{FF2B5EF4-FFF2-40B4-BE49-F238E27FC236}">
              <a16:creationId xmlns:a16="http://schemas.microsoft.com/office/drawing/2014/main" id="{00000000-0008-0000-0C00-000045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69</xdr:row>
      <xdr:rowOff>0</xdr:rowOff>
    </xdr:from>
    <xdr:ext cx="476250" cy="476250"/>
    <xdr:pic>
      <xdr:nvPicPr>
        <xdr:cNvPr id="70" name="image113.jpg">
          <a:extLst>
            <a:ext uri="{FF2B5EF4-FFF2-40B4-BE49-F238E27FC236}">
              <a16:creationId xmlns:a16="http://schemas.microsoft.com/office/drawing/2014/main" id="{00000000-0008-0000-0C00-000046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70</xdr:row>
      <xdr:rowOff>0</xdr:rowOff>
    </xdr:from>
    <xdr:ext cx="476250" cy="476250"/>
    <xdr:pic>
      <xdr:nvPicPr>
        <xdr:cNvPr id="71" name="image96.jpg">
          <a:extLst>
            <a:ext uri="{FF2B5EF4-FFF2-40B4-BE49-F238E27FC236}">
              <a16:creationId xmlns:a16="http://schemas.microsoft.com/office/drawing/2014/main" id="{00000000-0008-0000-0C00-000047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71</xdr:row>
      <xdr:rowOff>0</xdr:rowOff>
    </xdr:from>
    <xdr:ext cx="476250" cy="476250"/>
    <xdr:pic>
      <xdr:nvPicPr>
        <xdr:cNvPr id="72" name="image53.jpg">
          <a:extLst>
            <a:ext uri="{FF2B5EF4-FFF2-40B4-BE49-F238E27FC236}">
              <a16:creationId xmlns:a16="http://schemas.microsoft.com/office/drawing/2014/main" id="{00000000-0008-0000-0C00-000048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72</xdr:row>
      <xdr:rowOff>0</xdr:rowOff>
    </xdr:from>
    <xdr:ext cx="466725" cy="476250"/>
    <xdr:pic>
      <xdr:nvPicPr>
        <xdr:cNvPr id="73" name="image137.png">
          <a:extLst>
            <a:ext uri="{FF2B5EF4-FFF2-40B4-BE49-F238E27FC236}">
              <a16:creationId xmlns:a16="http://schemas.microsoft.com/office/drawing/2014/main" id="{00000000-0008-0000-0C00-000049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xdr:col>
      <xdr:colOff>0</xdr:colOff>
      <xdr:row>73</xdr:row>
      <xdr:rowOff>0</xdr:rowOff>
    </xdr:from>
    <xdr:ext cx="476250" cy="476250"/>
    <xdr:pic>
      <xdr:nvPicPr>
        <xdr:cNvPr id="74" name="image119.png">
          <a:extLst>
            <a:ext uri="{FF2B5EF4-FFF2-40B4-BE49-F238E27FC236}">
              <a16:creationId xmlns:a16="http://schemas.microsoft.com/office/drawing/2014/main" id="{00000000-0008-0000-0C00-00004A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74</xdr:row>
      <xdr:rowOff>0</xdr:rowOff>
    </xdr:from>
    <xdr:ext cx="476250" cy="476250"/>
    <xdr:pic>
      <xdr:nvPicPr>
        <xdr:cNvPr id="75" name="image76.jpg">
          <a:extLst>
            <a:ext uri="{FF2B5EF4-FFF2-40B4-BE49-F238E27FC236}">
              <a16:creationId xmlns:a16="http://schemas.microsoft.com/office/drawing/2014/main" id="{00000000-0008-0000-0C00-00004B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75</xdr:row>
      <xdr:rowOff>0</xdr:rowOff>
    </xdr:from>
    <xdr:ext cx="476250" cy="476250"/>
    <xdr:pic>
      <xdr:nvPicPr>
        <xdr:cNvPr id="76" name="image138.png">
          <a:extLst>
            <a:ext uri="{FF2B5EF4-FFF2-40B4-BE49-F238E27FC236}">
              <a16:creationId xmlns:a16="http://schemas.microsoft.com/office/drawing/2014/main" id="{00000000-0008-0000-0C00-00004C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76</xdr:row>
      <xdr:rowOff>0</xdr:rowOff>
    </xdr:from>
    <xdr:ext cx="476250" cy="476250"/>
    <xdr:pic>
      <xdr:nvPicPr>
        <xdr:cNvPr id="77" name="image143.png">
          <a:extLst>
            <a:ext uri="{FF2B5EF4-FFF2-40B4-BE49-F238E27FC236}">
              <a16:creationId xmlns:a16="http://schemas.microsoft.com/office/drawing/2014/main" id="{00000000-0008-0000-0C00-00004D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77</xdr:row>
      <xdr:rowOff>0</xdr:rowOff>
    </xdr:from>
    <xdr:ext cx="476250" cy="476250"/>
    <xdr:pic>
      <xdr:nvPicPr>
        <xdr:cNvPr id="78" name="image126.png">
          <a:extLst>
            <a:ext uri="{FF2B5EF4-FFF2-40B4-BE49-F238E27FC236}">
              <a16:creationId xmlns:a16="http://schemas.microsoft.com/office/drawing/2014/main" id="{00000000-0008-0000-0C00-00004E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xdr:col>
      <xdr:colOff>0</xdr:colOff>
      <xdr:row>78</xdr:row>
      <xdr:rowOff>0</xdr:rowOff>
    </xdr:from>
    <xdr:ext cx="476250" cy="476250"/>
    <xdr:pic>
      <xdr:nvPicPr>
        <xdr:cNvPr id="79" name="image143.png">
          <a:extLst>
            <a:ext uri="{FF2B5EF4-FFF2-40B4-BE49-F238E27FC236}">
              <a16:creationId xmlns:a16="http://schemas.microsoft.com/office/drawing/2014/main" id="{00000000-0008-0000-0C00-00004F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79</xdr:row>
      <xdr:rowOff>0</xdr:rowOff>
    </xdr:from>
    <xdr:ext cx="476250" cy="476250"/>
    <xdr:pic>
      <xdr:nvPicPr>
        <xdr:cNvPr id="80" name="image135.png">
          <a:extLst>
            <a:ext uri="{FF2B5EF4-FFF2-40B4-BE49-F238E27FC236}">
              <a16:creationId xmlns:a16="http://schemas.microsoft.com/office/drawing/2014/main" id="{00000000-0008-0000-0C00-000050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xdr:col>
      <xdr:colOff>0</xdr:colOff>
      <xdr:row>80</xdr:row>
      <xdr:rowOff>0</xdr:rowOff>
    </xdr:from>
    <xdr:ext cx="476250" cy="476250"/>
    <xdr:pic>
      <xdr:nvPicPr>
        <xdr:cNvPr id="81" name="image49.jpg">
          <a:extLst>
            <a:ext uri="{FF2B5EF4-FFF2-40B4-BE49-F238E27FC236}">
              <a16:creationId xmlns:a16="http://schemas.microsoft.com/office/drawing/2014/main" id="{00000000-0008-0000-0C00-000051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xdr:col>
      <xdr:colOff>0</xdr:colOff>
      <xdr:row>81</xdr:row>
      <xdr:rowOff>0</xdr:rowOff>
    </xdr:from>
    <xdr:ext cx="476250" cy="476250"/>
    <xdr:pic>
      <xdr:nvPicPr>
        <xdr:cNvPr id="82" name="image49.jpg">
          <a:extLst>
            <a:ext uri="{FF2B5EF4-FFF2-40B4-BE49-F238E27FC236}">
              <a16:creationId xmlns:a16="http://schemas.microsoft.com/office/drawing/2014/main" id="{00000000-0008-0000-0C00-000052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3</xdr:col>
      <xdr:colOff>0</xdr:colOff>
      <xdr:row>1</xdr:row>
      <xdr:rowOff>0</xdr:rowOff>
    </xdr:from>
    <xdr:ext cx="400050" cy="400050"/>
    <xdr:pic>
      <xdr:nvPicPr>
        <xdr:cNvPr id="2" name="image87.jpg">
          <a:extLst>
            <a:ext uri="{FF2B5EF4-FFF2-40B4-BE49-F238E27FC236}">
              <a16:creationId xmlns:a16="http://schemas.microsoft.com/office/drawing/2014/main" id="{00000000-0008-0000-0D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0</xdr:colOff>
      <xdr:row>1</xdr:row>
      <xdr:rowOff>0</xdr:rowOff>
    </xdr:from>
    <xdr:ext cx="400050" cy="400050"/>
    <xdr:pic>
      <xdr:nvPicPr>
        <xdr:cNvPr id="3" name="image82.jpg">
          <a:extLst>
            <a:ext uri="{FF2B5EF4-FFF2-40B4-BE49-F238E27FC236}">
              <a16:creationId xmlns:a16="http://schemas.microsoft.com/office/drawing/2014/main" id="{00000000-0008-0000-0D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2</xdr:col>
      <xdr:colOff>0</xdr:colOff>
      <xdr:row>1</xdr:row>
      <xdr:rowOff>0</xdr:rowOff>
    </xdr:from>
    <xdr:ext cx="381000" cy="381000"/>
    <xdr:pic>
      <xdr:nvPicPr>
        <xdr:cNvPr id="2" name="image147.png">
          <a:extLst>
            <a:ext uri="{FF2B5EF4-FFF2-40B4-BE49-F238E27FC236}">
              <a16:creationId xmlns:a16="http://schemas.microsoft.com/office/drawing/2014/main" id="{00000000-0008-0000-0E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xdr:row>
      <xdr:rowOff>0</xdr:rowOff>
    </xdr:from>
    <xdr:ext cx="381000" cy="381000"/>
    <xdr:pic>
      <xdr:nvPicPr>
        <xdr:cNvPr id="3" name="image147.png">
          <a:extLst>
            <a:ext uri="{FF2B5EF4-FFF2-40B4-BE49-F238E27FC236}">
              <a16:creationId xmlns:a16="http://schemas.microsoft.com/office/drawing/2014/main" id="{00000000-0008-0000-0E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3</xdr:row>
      <xdr:rowOff>0</xdr:rowOff>
    </xdr:from>
    <xdr:ext cx="381000" cy="381000"/>
    <xdr:pic>
      <xdr:nvPicPr>
        <xdr:cNvPr id="4" name="image147.png">
          <a:extLst>
            <a:ext uri="{FF2B5EF4-FFF2-40B4-BE49-F238E27FC236}">
              <a16:creationId xmlns:a16="http://schemas.microsoft.com/office/drawing/2014/main" id="{00000000-0008-0000-0E00-00000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4</xdr:row>
      <xdr:rowOff>0</xdr:rowOff>
    </xdr:from>
    <xdr:ext cx="381000" cy="381000"/>
    <xdr:pic>
      <xdr:nvPicPr>
        <xdr:cNvPr id="5" name="image147.png">
          <a:extLst>
            <a:ext uri="{FF2B5EF4-FFF2-40B4-BE49-F238E27FC236}">
              <a16:creationId xmlns:a16="http://schemas.microsoft.com/office/drawing/2014/main" id="{00000000-0008-0000-0E00-00000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5</xdr:row>
      <xdr:rowOff>0</xdr:rowOff>
    </xdr:from>
    <xdr:ext cx="381000" cy="381000"/>
    <xdr:pic>
      <xdr:nvPicPr>
        <xdr:cNvPr id="6" name="image236.jpg">
          <a:extLst>
            <a:ext uri="{FF2B5EF4-FFF2-40B4-BE49-F238E27FC236}">
              <a16:creationId xmlns:a16="http://schemas.microsoft.com/office/drawing/2014/main" id="{00000000-0008-0000-0E00-00000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6</xdr:row>
      <xdr:rowOff>0</xdr:rowOff>
    </xdr:from>
    <xdr:ext cx="381000" cy="381000"/>
    <xdr:pic>
      <xdr:nvPicPr>
        <xdr:cNvPr id="7" name="image236.jpg">
          <a:extLst>
            <a:ext uri="{FF2B5EF4-FFF2-40B4-BE49-F238E27FC236}">
              <a16:creationId xmlns:a16="http://schemas.microsoft.com/office/drawing/2014/main" id="{00000000-0008-0000-0E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7</xdr:row>
      <xdr:rowOff>0</xdr:rowOff>
    </xdr:from>
    <xdr:ext cx="381000" cy="381000"/>
    <xdr:pic>
      <xdr:nvPicPr>
        <xdr:cNvPr id="8" name="image236.jpg">
          <a:extLst>
            <a:ext uri="{FF2B5EF4-FFF2-40B4-BE49-F238E27FC236}">
              <a16:creationId xmlns:a16="http://schemas.microsoft.com/office/drawing/2014/main" id="{00000000-0008-0000-0E00-000008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8</xdr:row>
      <xdr:rowOff>0</xdr:rowOff>
    </xdr:from>
    <xdr:ext cx="381000" cy="381000"/>
    <xdr:pic>
      <xdr:nvPicPr>
        <xdr:cNvPr id="9" name="image236.jpg">
          <a:extLst>
            <a:ext uri="{FF2B5EF4-FFF2-40B4-BE49-F238E27FC236}">
              <a16:creationId xmlns:a16="http://schemas.microsoft.com/office/drawing/2014/main" id="{00000000-0008-0000-0E00-00000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9</xdr:row>
      <xdr:rowOff>0</xdr:rowOff>
    </xdr:from>
    <xdr:ext cx="381000" cy="381000"/>
    <xdr:pic>
      <xdr:nvPicPr>
        <xdr:cNvPr id="10" name="image236.jpg">
          <a:extLst>
            <a:ext uri="{FF2B5EF4-FFF2-40B4-BE49-F238E27FC236}">
              <a16:creationId xmlns:a16="http://schemas.microsoft.com/office/drawing/2014/main" id="{00000000-0008-0000-0E00-00000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10</xdr:row>
      <xdr:rowOff>0</xdr:rowOff>
    </xdr:from>
    <xdr:ext cx="381000" cy="381000"/>
    <xdr:pic>
      <xdr:nvPicPr>
        <xdr:cNvPr id="11" name="image236.jpg">
          <a:extLst>
            <a:ext uri="{FF2B5EF4-FFF2-40B4-BE49-F238E27FC236}">
              <a16:creationId xmlns:a16="http://schemas.microsoft.com/office/drawing/2014/main" id="{00000000-0008-0000-0E00-00000B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11</xdr:row>
      <xdr:rowOff>0</xdr:rowOff>
    </xdr:from>
    <xdr:ext cx="381000" cy="381000"/>
    <xdr:pic>
      <xdr:nvPicPr>
        <xdr:cNvPr id="12" name="image236.jpg">
          <a:extLst>
            <a:ext uri="{FF2B5EF4-FFF2-40B4-BE49-F238E27FC236}">
              <a16:creationId xmlns:a16="http://schemas.microsoft.com/office/drawing/2014/main" id="{00000000-0008-0000-0E00-00000C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12</xdr:row>
      <xdr:rowOff>0</xdr:rowOff>
    </xdr:from>
    <xdr:ext cx="381000" cy="381000"/>
    <xdr:pic>
      <xdr:nvPicPr>
        <xdr:cNvPr id="13" name="image236.jpg">
          <a:extLst>
            <a:ext uri="{FF2B5EF4-FFF2-40B4-BE49-F238E27FC236}">
              <a16:creationId xmlns:a16="http://schemas.microsoft.com/office/drawing/2014/main" id="{00000000-0008-0000-0E00-00000D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13</xdr:row>
      <xdr:rowOff>0</xdr:rowOff>
    </xdr:from>
    <xdr:ext cx="381000" cy="381000"/>
    <xdr:pic>
      <xdr:nvPicPr>
        <xdr:cNvPr id="14" name="image236.jpg">
          <a:extLst>
            <a:ext uri="{FF2B5EF4-FFF2-40B4-BE49-F238E27FC236}">
              <a16:creationId xmlns:a16="http://schemas.microsoft.com/office/drawing/2014/main" id="{00000000-0008-0000-0E00-00000E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14</xdr:row>
      <xdr:rowOff>0</xdr:rowOff>
    </xdr:from>
    <xdr:ext cx="381000" cy="381000"/>
    <xdr:pic>
      <xdr:nvPicPr>
        <xdr:cNvPr id="15" name="image236.jpg">
          <a:extLst>
            <a:ext uri="{FF2B5EF4-FFF2-40B4-BE49-F238E27FC236}">
              <a16:creationId xmlns:a16="http://schemas.microsoft.com/office/drawing/2014/main" id="{00000000-0008-0000-0E00-00000F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15</xdr:row>
      <xdr:rowOff>0</xdr:rowOff>
    </xdr:from>
    <xdr:ext cx="381000" cy="381000"/>
    <xdr:pic>
      <xdr:nvPicPr>
        <xdr:cNvPr id="16" name="image236.jpg">
          <a:extLst>
            <a:ext uri="{FF2B5EF4-FFF2-40B4-BE49-F238E27FC236}">
              <a16:creationId xmlns:a16="http://schemas.microsoft.com/office/drawing/2014/main" id="{00000000-0008-0000-0E00-000010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16</xdr:row>
      <xdr:rowOff>0</xdr:rowOff>
    </xdr:from>
    <xdr:ext cx="381000" cy="381000"/>
    <xdr:pic>
      <xdr:nvPicPr>
        <xdr:cNvPr id="17" name="image236.jpg">
          <a:extLst>
            <a:ext uri="{FF2B5EF4-FFF2-40B4-BE49-F238E27FC236}">
              <a16:creationId xmlns:a16="http://schemas.microsoft.com/office/drawing/2014/main" id="{00000000-0008-0000-0E00-000011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17</xdr:row>
      <xdr:rowOff>0</xdr:rowOff>
    </xdr:from>
    <xdr:ext cx="381000" cy="381000"/>
    <xdr:pic>
      <xdr:nvPicPr>
        <xdr:cNvPr id="18" name="image236.jpg">
          <a:extLst>
            <a:ext uri="{FF2B5EF4-FFF2-40B4-BE49-F238E27FC236}">
              <a16:creationId xmlns:a16="http://schemas.microsoft.com/office/drawing/2014/main" id="{00000000-0008-0000-0E00-00001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18</xdr:row>
      <xdr:rowOff>0</xdr:rowOff>
    </xdr:from>
    <xdr:ext cx="381000" cy="381000"/>
    <xdr:pic>
      <xdr:nvPicPr>
        <xdr:cNvPr id="19" name="image236.jpg">
          <a:extLst>
            <a:ext uri="{FF2B5EF4-FFF2-40B4-BE49-F238E27FC236}">
              <a16:creationId xmlns:a16="http://schemas.microsoft.com/office/drawing/2014/main" id="{00000000-0008-0000-0E00-00001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19</xdr:row>
      <xdr:rowOff>0</xdr:rowOff>
    </xdr:from>
    <xdr:ext cx="381000" cy="381000"/>
    <xdr:pic>
      <xdr:nvPicPr>
        <xdr:cNvPr id="20" name="image236.jpg">
          <a:extLst>
            <a:ext uri="{FF2B5EF4-FFF2-40B4-BE49-F238E27FC236}">
              <a16:creationId xmlns:a16="http://schemas.microsoft.com/office/drawing/2014/main" id="{00000000-0008-0000-0E00-00001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20</xdr:row>
      <xdr:rowOff>0</xdr:rowOff>
    </xdr:from>
    <xdr:ext cx="381000" cy="381000"/>
    <xdr:pic>
      <xdr:nvPicPr>
        <xdr:cNvPr id="21" name="image236.jpg">
          <a:extLst>
            <a:ext uri="{FF2B5EF4-FFF2-40B4-BE49-F238E27FC236}">
              <a16:creationId xmlns:a16="http://schemas.microsoft.com/office/drawing/2014/main" id="{00000000-0008-0000-0E00-00001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21</xdr:row>
      <xdr:rowOff>0</xdr:rowOff>
    </xdr:from>
    <xdr:ext cx="381000" cy="381000"/>
    <xdr:pic>
      <xdr:nvPicPr>
        <xdr:cNvPr id="22" name="image236.jpg">
          <a:extLst>
            <a:ext uri="{FF2B5EF4-FFF2-40B4-BE49-F238E27FC236}">
              <a16:creationId xmlns:a16="http://schemas.microsoft.com/office/drawing/2014/main" id="{00000000-0008-0000-0E00-00001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22</xdr:row>
      <xdr:rowOff>0</xdr:rowOff>
    </xdr:from>
    <xdr:ext cx="381000" cy="381000"/>
    <xdr:pic>
      <xdr:nvPicPr>
        <xdr:cNvPr id="23" name="image236.jpg">
          <a:extLst>
            <a:ext uri="{FF2B5EF4-FFF2-40B4-BE49-F238E27FC236}">
              <a16:creationId xmlns:a16="http://schemas.microsoft.com/office/drawing/2014/main" id="{00000000-0008-0000-0E00-00001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23</xdr:row>
      <xdr:rowOff>0</xdr:rowOff>
    </xdr:from>
    <xdr:ext cx="381000" cy="381000"/>
    <xdr:pic>
      <xdr:nvPicPr>
        <xdr:cNvPr id="24" name="image236.jpg">
          <a:extLst>
            <a:ext uri="{FF2B5EF4-FFF2-40B4-BE49-F238E27FC236}">
              <a16:creationId xmlns:a16="http://schemas.microsoft.com/office/drawing/2014/main" id="{00000000-0008-0000-0E00-000018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24</xdr:row>
      <xdr:rowOff>0</xdr:rowOff>
    </xdr:from>
    <xdr:ext cx="381000" cy="381000"/>
    <xdr:pic>
      <xdr:nvPicPr>
        <xdr:cNvPr id="25" name="image236.jpg">
          <a:extLst>
            <a:ext uri="{FF2B5EF4-FFF2-40B4-BE49-F238E27FC236}">
              <a16:creationId xmlns:a16="http://schemas.microsoft.com/office/drawing/2014/main" id="{00000000-0008-0000-0E00-00001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25</xdr:row>
      <xdr:rowOff>0</xdr:rowOff>
    </xdr:from>
    <xdr:ext cx="381000" cy="381000"/>
    <xdr:pic>
      <xdr:nvPicPr>
        <xdr:cNvPr id="26" name="image236.jpg">
          <a:extLst>
            <a:ext uri="{FF2B5EF4-FFF2-40B4-BE49-F238E27FC236}">
              <a16:creationId xmlns:a16="http://schemas.microsoft.com/office/drawing/2014/main" id="{00000000-0008-0000-0E00-00001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26</xdr:row>
      <xdr:rowOff>0</xdr:rowOff>
    </xdr:from>
    <xdr:ext cx="381000" cy="381000"/>
    <xdr:pic>
      <xdr:nvPicPr>
        <xdr:cNvPr id="27" name="image236.jpg">
          <a:extLst>
            <a:ext uri="{FF2B5EF4-FFF2-40B4-BE49-F238E27FC236}">
              <a16:creationId xmlns:a16="http://schemas.microsoft.com/office/drawing/2014/main" id="{00000000-0008-0000-0E00-00001B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27</xdr:row>
      <xdr:rowOff>0</xdr:rowOff>
    </xdr:from>
    <xdr:ext cx="381000" cy="381000"/>
    <xdr:pic>
      <xdr:nvPicPr>
        <xdr:cNvPr id="28" name="image65.png">
          <a:extLst>
            <a:ext uri="{FF2B5EF4-FFF2-40B4-BE49-F238E27FC236}">
              <a16:creationId xmlns:a16="http://schemas.microsoft.com/office/drawing/2014/main" id="{00000000-0008-0000-0E00-00001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28</xdr:row>
      <xdr:rowOff>0</xdr:rowOff>
    </xdr:from>
    <xdr:ext cx="381000" cy="381000"/>
    <xdr:pic>
      <xdr:nvPicPr>
        <xdr:cNvPr id="29" name="image65.png">
          <a:extLst>
            <a:ext uri="{FF2B5EF4-FFF2-40B4-BE49-F238E27FC236}">
              <a16:creationId xmlns:a16="http://schemas.microsoft.com/office/drawing/2014/main" id="{00000000-0008-0000-0E00-00001D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29</xdr:row>
      <xdr:rowOff>0</xdr:rowOff>
    </xdr:from>
    <xdr:ext cx="381000" cy="381000"/>
    <xdr:pic>
      <xdr:nvPicPr>
        <xdr:cNvPr id="30" name="image65.png">
          <a:extLst>
            <a:ext uri="{FF2B5EF4-FFF2-40B4-BE49-F238E27FC236}">
              <a16:creationId xmlns:a16="http://schemas.microsoft.com/office/drawing/2014/main" id="{00000000-0008-0000-0E00-00001E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30</xdr:row>
      <xdr:rowOff>0</xdr:rowOff>
    </xdr:from>
    <xdr:ext cx="381000" cy="381000"/>
    <xdr:pic>
      <xdr:nvPicPr>
        <xdr:cNvPr id="31" name="image65.png">
          <a:extLst>
            <a:ext uri="{FF2B5EF4-FFF2-40B4-BE49-F238E27FC236}">
              <a16:creationId xmlns:a16="http://schemas.microsoft.com/office/drawing/2014/main" id="{00000000-0008-0000-0E00-00001F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31</xdr:row>
      <xdr:rowOff>0</xdr:rowOff>
    </xdr:from>
    <xdr:ext cx="381000" cy="381000"/>
    <xdr:pic>
      <xdr:nvPicPr>
        <xdr:cNvPr id="32" name="image65.png">
          <a:extLst>
            <a:ext uri="{FF2B5EF4-FFF2-40B4-BE49-F238E27FC236}">
              <a16:creationId xmlns:a16="http://schemas.microsoft.com/office/drawing/2014/main" id="{00000000-0008-0000-0E00-00002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32</xdr:row>
      <xdr:rowOff>0</xdr:rowOff>
    </xdr:from>
    <xdr:ext cx="381000" cy="381000"/>
    <xdr:pic>
      <xdr:nvPicPr>
        <xdr:cNvPr id="33" name="image65.png">
          <a:extLst>
            <a:ext uri="{FF2B5EF4-FFF2-40B4-BE49-F238E27FC236}">
              <a16:creationId xmlns:a16="http://schemas.microsoft.com/office/drawing/2014/main" id="{00000000-0008-0000-0E00-000021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33</xdr:row>
      <xdr:rowOff>0</xdr:rowOff>
    </xdr:from>
    <xdr:ext cx="381000" cy="381000"/>
    <xdr:pic>
      <xdr:nvPicPr>
        <xdr:cNvPr id="34" name="image65.png">
          <a:extLst>
            <a:ext uri="{FF2B5EF4-FFF2-40B4-BE49-F238E27FC236}">
              <a16:creationId xmlns:a16="http://schemas.microsoft.com/office/drawing/2014/main" id="{00000000-0008-0000-0E00-000022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34</xdr:row>
      <xdr:rowOff>0</xdr:rowOff>
    </xdr:from>
    <xdr:ext cx="381000" cy="381000"/>
    <xdr:pic>
      <xdr:nvPicPr>
        <xdr:cNvPr id="35" name="image65.png">
          <a:extLst>
            <a:ext uri="{FF2B5EF4-FFF2-40B4-BE49-F238E27FC236}">
              <a16:creationId xmlns:a16="http://schemas.microsoft.com/office/drawing/2014/main" id="{00000000-0008-0000-0E00-000023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35</xdr:row>
      <xdr:rowOff>0</xdr:rowOff>
    </xdr:from>
    <xdr:ext cx="381000" cy="381000"/>
    <xdr:pic>
      <xdr:nvPicPr>
        <xdr:cNvPr id="36" name="image65.png">
          <a:extLst>
            <a:ext uri="{FF2B5EF4-FFF2-40B4-BE49-F238E27FC236}">
              <a16:creationId xmlns:a16="http://schemas.microsoft.com/office/drawing/2014/main" id="{00000000-0008-0000-0E00-00002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36</xdr:row>
      <xdr:rowOff>0</xdr:rowOff>
    </xdr:from>
    <xdr:ext cx="381000" cy="381000"/>
    <xdr:pic>
      <xdr:nvPicPr>
        <xdr:cNvPr id="37" name="image65.png">
          <a:extLst>
            <a:ext uri="{FF2B5EF4-FFF2-40B4-BE49-F238E27FC236}">
              <a16:creationId xmlns:a16="http://schemas.microsoft.com/office/drawing/2014/main" id="{00000000-0008-0000-0E00-00002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37</xdr:row>
      <xdr:rowOff>0</xdr:rowOff>
    </xdr:from>
    <xdr:ext cx="381000" cy="381000"/>
    <xdr:pic>
      <xdr:nvPicPr>
        <xdr:cNvPr id="38" name="image65.png">
          <a:extLst>
            <a:ext uri="{FF2B5EF4-FFF2-40B4-BE49-F238E27FC236}">
              <a16:creationId xmlns:a16="http://schemas.microsoft.com/office/drawing/2014/main" id="{00000000-0008-0000-0E00-00002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38</xdr:row>
      <xdr:rowOff>0</xdr:rowOff>
    </xdr:from>
    <xdr:ext cx="381000" cy="381000"/>
    <xdr:pic>
      <xdr:nvPicPr>
        <xdr:cNvPr id="39" name="image65.png">
          <a:extLst>
            <a:ext uri="{FF2B5EF4-FFF2-40B4-BE49-F238E27FC236}">
              <a16:creationId xmlns:a16="http://schemas.microsoft.com/office/drawing/2014/main" id="{00000000-0008-0000-0E00-000027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39</xdr:row>
      <xdr:rowOff>0</xdr:rowOff>
    </xdr:from>
    <xdr:ext cx="381000" cy="381000"/>
    <xdr:pic>
      <xdr:nvPicPr>
        <xdr:cNvPr id="40" name="image65.png">
          <a:extLst>
            <a:ext uri="{FF2B5EF4-FFF2-40B4-BE49-F238E27FC236}">
              <a16:creationId xmlns:a16="http://schemas.microsoft.com/office/drawing/2014/main" id="{00000000-0008-0000-0E00-00002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40</xdr:row>
      <xdr:rowOff>0</xdr:rowOff>
    </xdr:from>
    <xdr:ext cx="381000" cy="381000"/>
    <xdr:pic>
      <xdr:nvPicPr>
        <xdr:cNvPr id="41" name="image65.png">
          <a:extLst>
            <a:ext uri="{FF2B5EF4-FFF2-40B4-BE49-F238E27FC236}">
              <a16:creationId xmlns:a16="http://schemas.microsoft.com/office/drawing/2014/main" id="{00000000-0008-0000-0E00-000029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41</xdr:row>
      <xdr:rowOff>0</xdr:rowOff>
    </xdr:from>
    <xdr:ext cx="381000" cy="381000"/>
    <xdr:pic>
      <xdr:nvPicPr>
        <xdr:cNvPr id="42" name="image65.png">
          <a:extLst>
            <a:ext uri="{FF2B5EF4-FFF2-40B4-BE49-F238E27FC236}">
              <a16:creationId xmlns:a16="http://schemas.microsoft.com/office/drawing/2014/main" id="{00000000-0008-0000-0E00-00002A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42</xdr:row>
      <xdr:rowOff>0</xdr:rowOff>
    </xdr:from>
    <xdr:ext cx="381000" cy="381000"/>
    <xdr:pic>
      <xdr:nvPicPr>
        <xdr:cNvPr id="43" name="image65.png">
          <a:extLst>
            <a:ext uri="{FF2B5EF4-FFF2-40B4-BE49-F238E27FC236}">
              <a16:creationId xmlns:a16="http://schemas.microsoft.com/office/drawing/2014/main" id="{00000000-0008-0000-0E00-00002B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43</xdr:row>
      <xdr:rowOff>0</xdr:rowOff>
    </xdr:from>
    <xdr:ext cx="381000" cy="381000"/>
    <xdr:pic>
      <xdr:nvPicPr>
        <xdr:cNvPr id="44" name="image65.png">
          <a:extLst>
            <a:ext uri="{FF2B5EF4-FFF2-40B4-BE49-F238E27FC236}">
              <a16:creationId xmlns:a16="http://schemas.microsoft.com/office/drawing/2014/main" id="{00000000-0008-0000-0E00-00002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44</xdr:row>
      <xdr:rowOff>0</xdr:rowOff>
    </xdr:from>
    <xdr:ext cx="381000" cy="381000"/>
    <xdr:pic>
      <xdr:nvPicPr>
        <xdr:cNvPr id="45" name="image65.png">
          <a:extLst>
            <a:ext uri="{FF2B5EF4-FFF2-40B4-BE49-F238E27FC236}">
              <a16:creationId xmlns:a16="http://schemas.microsoft.com/office/drawing/2014/main" id="{00000000-0008-0000-0E00-00002D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45</xdr:row>
      <xdr:rowOff>0</xdr:rowOff>
    </xdr:from>
    <xdr:ext cx="381000" cy="381000"/>
    <xdr:pic>
      <xdr:nvPicPr>
        <xdr:cNvPr id="46" name="image65.png">
          <a:extLst>
            <a:ext uri="{FF2B5EF4-FFF2-40B4-BE49-F238E27FC236}">
              <a16:creationId xmlns:a16="http://schemas.microsoft.com/office/drawing/2014/main" id="{00000000-0008-0000-0E00-00002E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46</xdr:row>
      <xdr:rowOff>0</xdr:rowOff>
    </xdr:from>
    <xdr:ext cx="381000" cy="381000"/>
    <xdr:pic>
      <xdr:nvPicPr>
        <xdr:cNvPr id="47" name="image65.png">
          <a:extLst>
            <a:ext uri="{FF2B5EF4-FFF2-40B4-BE49-F238E27FC236}">
              <a16:creationId xmlns:a16="http://schemas.microsoft.com/office/drawing/2014/main" id="{00000000-0008-0000-0E00-00002F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47</xdr:row>
      <xdr:rowOff>0</xdr:rowOff>
    </xdr:from>
    <xdr:ext cx="381000" cy="381000"/>
    <xdr:pic>
      <xdr:nvPicPr>
        <xdr:cNvPr id="48" name="image65.png">
          <a:extLst>
            <a:ext uri="{FF2B5EF4-FFF2-40B4-BE49-F238E27FC236}">
              <a16:creationId xmlns:a16="http://schemas.microsoft.com/office/drawing/2014/main" id="{00000000-0008-0000-0E00-00003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48</xdr:row>
      <xdr:rowOff>0</xdr:rowOff>
    </xdr:from>
    <xdr:ext cx="381000" cy="381000"/>
    <xdr:pic>
      <xdr:nvPicPr>
        <xdr:cNvPr id="49" name="image65.png">
          <a:extLst>
            <a:ext uri="{FF2B5EF4-FFF2-40B4-BE49-F238E27FC236}">
              <a16:creationId xmlns:a16="http://schemas.microsoft.com/office/drawing/2014/main" id="{00000000-0008-0000-0E00-000031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49</xdr:row>
      <xdr:rowOff>0</xdr:rowOff>
    </xdr:from>
    <xdr:ext cx="381000" cy="381000"/>
    <xdr:pic>
      <xdr:nvPicPr>
        <xdr:cNvPr id="50" name="image262.jpg">
          <a:extLst>
            <a:ext uri="{FF2B5EF4-FFF2-40B4-BE49-F238E27FC236}">
              <a16:creationId xmlns:a16="http://schemas.microsoft.com/office/drawing/2014/main" id="{00000000-0008-0000-0E00-000032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50</xdr:row>
      <xdr:rowOff>0</xdr:rowOff>
    </xdr:from>
    <xdr:ext cx="381000" cy="381000"/>
    <xdr:pic>
      <xdr:nvPicPr>
        <xdr:cNvPr id="51" name="image262.jpg">
          <a:extLst>
            <a:ext uri="{FF2B5EF4-FFF2-40B4-BE49-F238E27FC236}">
              <a16:creationId xmlns:a16="http://schemas.microsoft.com/office/drawing/2014/main" id="{00000000-0008-0000-0E00-000033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51</xdr:row>
      <xdr:rowOff>0</xdr:rowOff>
    </xdr:from>
    <xdr:ext cx="381000" cy="381000"/>
    <xdr:pic>
      <xdr:nvPicPr>
        <xdr:cNvPr id="52" name="image262.jpg">
          <a:extLst>
            <a:ext uri="{FF2B5EF4-FFF2-40B4-BE49-F238E27FC236}">
              <a16:creationId xmlns:a16="http://schemas.microsoft.com/office/drawing/2014/main" id="{00000000-0008-0000-0E00-000034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52</xdr:row>
      <xdr:rowOff>0</xdr:rowOff>
    </xdr:from>
    <xdr:ext cx="381000" cy="381000"/>
    <xdr:pic>
      <xdr:nvPicPr>
        <xdr:cNvPr id="53" name="image262.jpg">
          <a:extLst>
            <a:ext uri="{FF2B5EF4-FFF2-40B4-BE49-F238E27FC236}">
              <a16:creationId xmlns:a16="http://schemas.microsoft.com/office/drawing/2014/main" id="{00000000-0008-0000-0E00-00003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53</xdr:row>
      <xdr:rowOff>0</xdr:rowOff>
    </xdr:from>
    <xdr:ext cx="381000" cy="381000"/>
    <xdr:pic>
      <xdr:nvPicPr>
        <xdr:cNvPr id="54" name="image262.jpg">
          <a:extLst>
            <a:ext uri="{FF2B5EF4-FFF2-40B4-BE49-F238E27FC236}">
              <a16:creationId xmlns:a16="http://schemas.microsoft.com/office/drawing/2014/main" id="{00000000-0008-0000-0E00-000036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54</xdr:row>
      <xdr:rowOff>0</xdr:rowOff>
    </xdr:from>
    <xdr:ext cx="381000" cy="381000"/>
    <xdr:pic>
      <xdr:nvPicPr>
        <xdr:cNvPr id="55" name="image262.jpg">
          <a:extLst>
            <a:ext uri="{FF2B5EF4-FFF2-40B4-BE49-F238E27FC236}">
              <a16:creationId xmlns:a16="http://schemas.microsoft.com/office/drawing/2014/main" id="{00000000-0008-0000-0E00-00003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55</xdr:row>
      <xdr:rowOff>0</xdr:rowOff>
    </xdr:from>
    <xdr:ext cx="381000" cy="381000"/>
    <xdr:pic>
      <xdr:nvPicPr>
        <xdr:cNvPr id="56" name="image262.jpg">
          <a:extLst>
            <a:ext uri="{FF2B5EF4-FFF2-40B4-BE49-F238E27FC236}">
              <a16:creationId xmlns:a16="http://schemas.microsoft.com/office/drawing/2014/main" id="{00000000-0008-0000-0E00-000038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56</xdr:row>
      <xdr:rowOff>0</xdr:rowOff>
    </xdr:from>
    <xdr:ext cx="381000" cy="381000"/>
    <xdr:pic>
      <xdr:nvPicPr>
        <xdr:cNvPr id="57" name="image262.jpg">
          <a:extLst>
            <a:ext uri="{FF2B5EF4-FFF2-40B4-BE49-F238E27FC236}">
              <a16:creationId xmlns:a16="http://schemas.microsoft.com/office/drawing/2014/main" id="{00000000-0008-0000-0E00-00003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57</xdr:row>
      <xdr:rowOff>0</xdr:rowOff>
    </xdr:from>
    <xdr:ext cx="381000" cy="381000"/>
    <xdr:pic>
      <xdr:nvPicPr>
        <xdr:cNvPr id="58" name="image262.jpg">
          <a:extLst>
            <a:ext uri="{FF2B5EF4-FFF2-40B4-BE49-F238E27FC236}">
              <a16:creationId xmlns:a16="http://schemas.microsoft.com/office/drawing/2014/main" id="{00000000-0008-0000-0E00-00003A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58</xdr:row>
      <xdr:rowOff>0</xdr:rowOff>
    </xdr:from>
    <xdr:ext cx="381000" cy="381000"/>
    <xdr:pic>
      <xdr:nvPicPr>
        <xdr:cNvPr id="59" name="image262.jpg">
          <a:extLst>
            <a:ext uri="{FF2B5EF4-FFF2-40B4-BE49-F238E27FC236}">
              <a16:creationId xmlns:a16="http://schemas.microsoft.com/office/drawing/2014/main" id="{00000000-0008-0000-0E00-00003B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59</xdr:row>
      <xdr:rowOff>0</xdr:rowOff>
    </xdr:from>
    <xdr:ext cx="381000" cy="381000"/>
    <xdr:pic>
      <xdr:nvPicPr>
        <xdr:cNvPr id="60" name="image262.jpg">
          <a:extLst>
            <a:ext uri="{FF2B5EF4-FFF2-40B4-BE49-F238E27FC236}">
              <a16:creationId xmlns:a16="http://schemas.microsoft.com/office/drawing/2014/main" id="{00000000-0008-0000-0E00-00003C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60</xdr:row>
      <xdr:rowOff>0</xdr:rowOff>
    </xdr:from>
    <xdr:ext cx="381000" cy="381000"/>
    <xdr:pic>
      <xdr:nvPicPr>
        <xdr:cNvPr id="61" name="image262.jpg">
          <a:extLst>
            <a:ext uri="{FF2B5EF4-FFF2-40B4-BE49-F238E27FC236}">
              <a16:creationId xmlns:a16="http://schemas.microsoft.com/office/drawing/2014/main" id="{00000000-0008-0000-0E00-00003D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61</xdr:row>
      <xdr:rowOff>0</xdr:rowOff>
    </xdr:from>
    <xdr:ext cx="381000" cy="381000"/>
    <xdr:pic>
      <xdr:nvPicPr>
        <xdr:cNvPr id="62" name="image262.jpg">
          <a:extLst>
            <a:ext uri="{FF2B5EF4-FFF2-40B4-BE49-F238E27FC236}">
              <a16:creationId xmlns:a16="http://schemas.microsoft.com/office/drawing/2014/main" id="{00000000-0008-0000-0E00-00003E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62</xdr:row>
      <xdr:rowOff>0</xdr:rowOff>
    </xdr:from>
    <xdr:ext cx="381000" cy="381000"/>
    <xdr:pic>
      <xdr:nvPicPr>
        <xdr:cNvPr id="63" name="image262.jpg">
          <a:extLst>
            <a:ext uri="{FF2B5EF4-FFF2-40B4-BE49-F238E27FC236}">
              <a16:creationId xmlns:a16="http://schemas.microsoft.com/office/drawing/2014/main" id="{00000000-0008-0000-0E00-00003F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63</xdr:row>
      <xdr:rowOff>0</xdr:rowOff>
    </xdr:from>
    <xdr:ext cx="381000" cy="381000"/>
    <xdr:pic>
      <xdr:nvPicPr>
        <xdr:cNvPr id="64" name="image262.jpg">
          <a:extLst>
            <a:ext uri="{FF2B5EF4-FFF2-40B4-BE49-F238E27FC236}">
              <a16:creationId xmlns:a16="http://schemas.microsoft.com/office/drawing/2014/main" id="{00000000-0008-0000-0E00-000040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64</xdr:row>
      <xdr:rowOff>0</xdr:rowOff>
    </xdr:from>
    <xdr:ext cx="381000" cy="381000"/>
    <xdr:pic>
      <xdr:nvPicPr>
        <xdr:cNvPr id="65" name="image262.jpg">
          <a:extLst>
            <a:ext uri="{FF2B5EF4-FFF2-40B4-BE49-F238E27FC236}">
              <a16:creationId xmlns:a16="http://schemas.microsoft.com/office/drawing/2014/main" id="{00000000-0008-0000-0E00-000041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65</xdr:row>
      <xdr:rowOff>0</xdr:rowOff>
    </xdr:from>
    <xdr:ext cx="381000" cy="381000"/>
    <xdr:pic>
      <xdr:nvPicPr>
        <xdr:cNvPr id="66" name="image262.jpg">
          <a:extLst>
            <a:ext uri="{FF2B5EF4-FFF2-40B4-BE49-F238E27FC236}">
              <a16:creationId xmlns:a16="http://schemas.microsoft.com/office/drawing/2014/main" id="{00000000-0008-0000-0E00-000042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66</xdr:row>
      <xdr:rowOff>0</xdr:rowOff>
    </xdr:from>
    <xdr:ext cx="381000" cy="381000"/>
    <xdr:pic>
      <xdr:nvPicPr>
        <xdr:cNvPr id="67" name="image262.jpg">
          <a:extLst>
            <a:ext uri="{FF2B5EF4-FFF2-40B4-BE49-F238E27FC236}">
              <a16:creationId xmlns:a16="http://schemas.microsoft.com/office/drawing/2014/main" id="{00000000-0008-0000-0E00-000043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67</xdr:row>
      <xdr:rowOff>0</xdr:rowOff>
    </xdr:from>
    <xdr:ext cx="381000" cy="381000"/>
    <xdr:pic>
      <xdr:nvPicPr>
        <xdr:cNvPr id="68" name="image262.jpg">
          <a:extLst>
            <a:ext uri="{FF2B5EF4-FFF2-40B4-BE49-F238E27FC236}">
              <a16:creationId xmlns:a16="http://schemas.microsoft.com/office/drawing/2014/main" id="{00000000-0008-0000-0E00-000044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68</xdr:row>
      <xdr:rowOff>0</xdr:rowOff>
    </xdr:from>
    <xdr:ext cx="381000" cy="381000"/>
    <xdr:pic>
      <xdr:nvPicPr>
        <xdr:cNvPr id="69" name="image20.png">
          <a:extLst>
            <a:ext uri="{FF2B5EF4-FFF2-40B4-BE49-F238E27FC236}">
              <a16:creationId xmlns:a16="http://schemas.microsoft.com/office/drawing/2014/main" id="{00000000-0008-0000-0E00-000045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69</xdr:row>
      <xdr:rowOff>0</xdr:rowOff>
    </xdr:from>
    <xdr:ext cx="381000" cy="381000"/>
    <xdr:pic>
      <xdr:nvPicPr>
        <xdr:cNvPr id="70" name="image20.png">
          <a:extLst>
            <a:ext uri="{FF2B5EF4-FFF2-40B4-BE49-F238E27FC236}">
              <a16:creationId xmlns:a16="http://schemas.microsoft.com/office/drawing/2014/main" id="{00000000-0008-0000-0E00-00004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70</xdr:row>
      <xdr:rowOff>0</xdr:rowOff>
    </xdr:from>
    <xdr:ext cx="381000" cy="381000"/>
    <xdr:pic>
      <xdr:nvPicPr>
        <xdr:cNvPr id="71" name="image20.png">
          <a:extLst>
            <a:ext uri="{FF2B5EF4-FFF2-40B4-BE49-F238E27FC236}">
              <a16:creationId xmlns:a16="http://schemas.microsoft.com/office/drawing/2014/main" id="{00000000-0008-0000-0E00-00004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71</xdr:row>
      <xdr:rowOff>0</xdr:rowOff>
    </xdr:from>
    <xdr:ext cx="381000" cy="381000"/>
    <xdr:pic>
      <xdr:nvPicPr>
        <xdr:cNvPr id="72" name="image20.png">
          <a:extLst>
            <a:ext uri="{FF2B5EF4-FFF2-40B4-BE49-F238E27FC236}">
              <a16:creationId xmlns:a16="http://schemas.microsoft.com/office/drawing/2014/main" id="{00000000-0008-0000-0E00-00004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72</xdr:row>
      <xdr:rowOff>0</xdr:rowOff>
    </xdr:from>
    <xdr:ext cx="381000" cy="381000"/>
    <xdr:pic>
      <xdr:nvPicPr>
        <xdr:cNvPr id="73" name="image20.png">
          <a:extLst>
            <a:ext uri="{FF2B5EF4-FFF2-40B4-BE49-F238E27FC236}">
              <a16:creationId xmlns:a16="http://schemas.microsoft.com/office/drawing/2014/main" id="{00000000-0008-0000-0E00-00004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73</xdr:row>
      <xdr:rowOff>0</xdr:rowOff>
    </xdr:from>
    <xdr:ext cx="381000" cy="381000"/>
    <xdr:pic>
      <xdr:nvPicPr>
        <xdr:cNvPr id="74" name="image20.png">
          <a:extLst>
            <a:ext uri="{FF2B5EF4-FFF2-40B4-BE49-F238E27FC236}">
              <a16:creationId xmlns:a16="http://schemas.microsoft.com/office/drawing/2014/main" id="{00000000-0008-0000-0E00-00004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74</xdr:row>
      <xdr:rowOff>0</xdr:rowOff>
    </xdr:from>
    <xdr:ext cx="381000" cy="381000"/>
    <xdr:pic>
      <xdr:nvPicPr>
        <xdr:cNvPr id="75" name="image20.png">
          <a:extLst>
            <a:ext uri="{FF2B5EF4-FFF2-40B4-BE49-F238E27FC236}">
              <a16:creationId xmlns:a16="http://schemas.microsoft.com/office/drawing/2014/main" id="{00000000-0008-0000-0E00-00004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75</xdr:row>
      <xdr:rowOff>0</xdr:rowOff>
    </xdr:from>
    <xdr:ext cx="381000" cy="381000"/>
    <xdr:pic>
      <xdr:nvPicPr>
        <xdr:cNvPr id="76" name="image20.png">
          <a:extLst>
            <a:ext uri="{FF2B5EF4-FFF2-40B4-BE49-F238E27FC236}">
              <a16:creationId xmlns:a16="http://schemas.microsoft.com/office/drawing/2014/main" id="{00000000-0008-0000-0E00-00004C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76</xdr:row>
      <xdr:rowOff>0</xdr:rowOff>
    </xdr:from>
    <xdr:ext cx="381000" cy="381000"/>
    <xdr:pic>
      <xdr:nvPicPr>
        <xdr:cNvPr id="77" name="image20.png">
          <a:extLst>
            <a:ext uri="{FF2B5EF4-FFF2-40B4-BE49-F238E27FC236}">
              <a16:creationId xmlns:a16="http://schemas.microsoft.com/office/drawing/2014/main" id="{00000000-0008-0000-0E00-00004D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77</xdr:row>
      <xdr:rowOff>0</xdr:rowOff>
    </xdr:from>
    <xdr:ext cx="381000" cy="381000"/>
    <xdr:pic>
      <xdr:nvPicPr>
        <xdr:cNvPr id="78" name="image20.png">
          <a:extLst>
            <a:ext uri="{FF2B5EF4-FFF2-40B4-BE49-F238E27FC236}">
              <a16:creationId xmlns:a16="http://schemas.microsoft.com/office/drawing/2014/main" id="{00000000-0008-0000-0E00-00004E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78</xdr:row>
      <xdr:rowOff>0</xdr:rowOff>
    </xdr:from>
    <xdr:ext cx="381000" cy="381000"/>
    <xdr:pic>
      <xdr:nvPicPr>
        <xdr:cNvPr id="79" name="image20.png">
          <a:extLst>
            <a:ext uri="{FF2B5EF4-FFF2-40B4-BE49-F238E27FC236}">
              <a16:creationId xmlns:a16="http://schemas.microsoft.com/office/drawing/2014/main" id="{00000000-0008-0000-0E00-00004F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79</xdr:row>
      <xdr:rowOff>0</xdr:rowOff>
    </xdr:from>
    <xdr:ext cx="381000" cy="381000"/>
    <xdr:pic>
      <xdr:nvPicPr>
        <xdr:cNvPr id="80" name="image20.png">
          <a:extLst>
            <a:ext uri="{FF2B5EF4-FFF2-40B4-BE49-F238E27FC236}">
              <a16:creationId xmlns:a16="http://schemas.microsoft.com/office/drawing/2014/main" id="{00000000-0008-0000-0E00-000050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80</xdr:row>
      <xdr:rowOff>0</xdr:rowOff>
    </xdr:from>
    <xdr:ext cx="381000" cy="381000"/>
    <xdr:pic>
      <xdr:nvPicPr>
        <xdr:cNvPr id="81" name="image20.png">
          <a:extLst>
            <a:ext uri="{FF2B5EF4-FFF2-40B4-BE49-F238E27FC236}">
              <a16:creationId xmlns:a16="http://schemas.microsoft.com/office/drawing/2014/main" id="{00000000-0008-0000-0E00-000051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81</xdr:row>
      <xdr:rowOff>0</xdr:rowOff>
    </xdr:from>
    <xdr:ext cx="381000" cy="381000"/>
    <xdr:pic>
      <xdr:nvPicPr>
        <xdr:cNvPr id="82" name="image20.png">
          <a:extLst>
            <a:ext uri="{FF2B5EF4-FFF2-40B4-BE49-F238E27FC236}">
              <a16:creationId xmlns:a16="http://schemas.microsoft.com/office/drawing/2014/main" id="{00000000-0008-0000-0E00-000052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82</xdr:row>
      <xdr:rowOff>0</xdr:rowOff>
    </xdr:from>
    <xdr:ext cx="381000" cy="381000"/>
    <xdr:pic>
      <xdr:nvPicPr>
        <xdr:cNvPr id="83" name="image20.png">
          <a:extLst>
            <a:ext uri="{FF2B5EF4-FFF2-40B4-BE49-F238E27FC236}">
              <a16:creationId xmlns:a16="http://schemas.microsoft.com/office/drawing/2014/main" id="{00000000-0008-0000-0E00-000053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83</xdr:row>
      <xdr:rowOff>0</xdr:rowOff>
    </xdr:from>
    <xdr:ext cx="381000" cy="381000"/>
    <xdr:pic>
      <xdr:nvPicPr>
        <xdr:cNvPr id="84" name="image20.png">
          <a:extLst>
            <a:ext uri="{FF2B5EF4-FFF2-40B4-BE49-F238E27FC236}">
              <a16:creationId xmlns:a16="http://schemas.microsoft.com/office/drawing/2014/main" id="{00000000-0008-0000-0E00-000054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84</xdr:row>
      <xdr:rowOff>0</xdr:rowOff>
    </xdr:from>
    <xdr:ext cx="381000" cy="381000"/>
    <xdr:pic>
      <xdr:nvPicPr>
        <xdr:cNvPr id="85" name="image20.png">
          <a:extLst>
            <a:ext uri="{FF2B5EF4-FFF2-40B4-BE49-F238E27FC236}">
              <a16:creationId xmlns:a16="http://schemas.microsoft.com/office/drawing/2014/main" id="{00000000-0008-0000-0E00-000055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85</xdr:row>
      <xdr:rowOff>0</xdr:rowOff>
    </xdr:from>
    <xdr:ext cx="381000" cy="381000"/>
    <xdr:pic>
      <xdr:nvPicPr>
        <xdr:cNvPr id="86" name="image20.png">
          <a:extLst>
            <a:ext uri="{FF2B5EF4-FFF2-40B4-BE49-F238E27FC236}">
              <a16:creationId xmlns:a16="http://schemas.microsoft.com/office/drawing/2014/main" id="{00000000-0008-0000-0E00-00005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86</xdr:row>
      <xdr:rowOff>0</xdr:rowOff>
    </xdr:from>
    <xdr:ext cx="381000" cy="381000"/>
    <xdr:pic>
      <xdr:nvPicPr>
        <xdr:cNvPr id="87" name="image20.png">
          <a:extLst>
            <a:ext uri="{FF2B5EF4-FFF2-40B4-BE49-F238E27FC236}">
              <a16:creationId xmlns:a16="http://schemas.microsoft.com/office/drawing/2014/main" id="{00000000-0008-0000-0E00-00005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87</xdr:row>
      <xdr:rowOff>0</xdr:rowOff>
    </xdr:from>
    <xdr:ext cx="381000" cy="381000"/>
    <xdr:pic>
      <xdr:nvPicPr>
        <xdr:cNvPr id="88" name="image20.png">
          <a:extLst>
            <a:ext uri="{FF2B5EF4-FFF2-40B4-BE49-F238E27FC236}">
              <a16:creationId xmlns:a16="http://schemas.microsoft.com/office/drawing/2014/main" id="{00000000-0008-0000-0E00-00005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88</xdr:row>
      <xdr:rowOff>0</xdr:rowOff>
    </xdr:from>
    <xdr:ext cx="381000" cy="381000"/>
    <xdr:pic>
      <xdr:nvPicPr>
        <xdr:cNvPr id="89" name="image20.png">
          <a:extLst>
            <a:ext uri="{FF2B5EF4-FFF2-40B4-BE49-F238E27FC236}">
              <a16:creationId xmlns:a16="http://schemas.microsoft.com/office/drawing/2014/main" id="{00000000-0008-0000-0E00-00005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89</xdr:row>
      <xdr:rowOff>0</xdr:rowOff>
    </xdr:from>
    <xdr:ext cx="381000" cy="381000"/>
    <xdr:pic>
      <xdr:nvPicPr>
        <xdr:cNvPr id="90" name="image20.png">
          <a:extLst>
            <a:ext uri="{FF2B5EF4-FFF2-40B4-BE49-F238E27FC236}">
              <a16:creationId xmlns:a16="http://schemas.microsoft.com/office/drawing/2014/main" id="{00000000-0008-0000-0E00-00005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90</xdr:row>
      <xdr:rowOff>0</xdr:rowOff>
    </xdr:from>
    <xdr:ext cx="381000" cy="381000"/>
    <xdr:pic>
      <xdr:nvPicPr>
        <xdr:cNvPr id="91" name="image20.png">
          <a:extLst>
            <a:ext uri="{FF2B5EF4-FFF2-40B4-BE49-F238E27FC236}">
              <a16:creationId xmlns:a16="http://schemas.microsoft.com/office/drawing/2014/main" id="{00000000-0008-0000-0E00-00005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91</xdr:row>
      <xdr:rowOff>0</xdr:rowOff>
    </xdr:from>
    <xdr:ext cx="381000" cy="381000"/>
    <xdr:pic>
      <xdr:nvPicPr>
        <xdr:cNvPr id="92" name="image20.png">
          <a:extLst>
            <a:ext uri="{FF2B5EF4-FFF2-40B4-BE49-F238E27FC236}">
              <a16:creationId xmlns:a16="http://schemas.microsoft.com/office/drawing/2014/main" id="{00000000-0008-0000-0E00-00005C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92</xdr:row>
      <xdr:rowOff>0</xdr:rowOff>
    </xdr:from>
    <xdr:ext cx="381000" cy="381000"/>
    <xdr:pic>
      <xdr:nvPicPr>
        <xdr:cNvPr id="93" name="image20.png">
          <a:extLst>
            <a:ext uri="{FF2B5EF4-FFF2-40B4-BE49-F238E27FC236}">
              <a16:creationId xmlns:a16="http://schemas.microsoft.com/office/drawing/2014/main" id="{00000000-0008-0000-0E00-00005D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93</xdr:row>
      <xdr:rowOff>0</xdr:rowOff>
    </xdr:from>
    <xdr:ext cx="381000" cy="381000"/>
    <xdr:pic>
      <xdr:nvPicPr>
        <xdr:cNvPr id="94" name="image20.png">
          <a:extLst>
            <a:ext uri="{FF2B5EF4-FFF2-40B4-BE49-F238E27FC236}">
              <a16:creationId xmlns:a16="http://schemas.microsoft.com/office/drawing/2014/main" id="{00000000-0008-0000-0E00-00005E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94</xdr:row>
      <xdr:rowOff>0</xdr:rowOff>
    </xdr:from>
    <xdr:ext cx="381000" cy="381000"/>
    <xdr:pic>
      <xdr:nvPicPr>
        <xdr:cNvPr id="95" name="image20.png">
          <a:extLst>
            <a:ext uri="{FF2B5EF4-FFF2-40B4-BE49-F238E27FC236}">
              <a16:creationId xmlns:a16="http://schemas.microsoft.com/office/drawing/2014/main" id="{00000000-0008-0000-0E00-00005F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95</xdr:row>
      <xdr:rowOff>0</xdr:rowOff>
    </xdr:from>
    <xdr:ext cx="381000" cy="381000"/>
    <xdr:pic>
      <xdr:nvPicPr>
        <xdr:cNvPr id="96" name="image20.png">
          <a:extLst>
            <a:ext uri="{FF2B5EF4-FFF2-40B4-BE49-F238E27FC236}">
              <a16:creationId xmlns:a16="http://schemas.microsoft.com/office/drawing/2014/main" id="{00000000-0008-0000-0E00-000060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96</xdr:row>
      <xdr:rowOff>0</xdr:rowOff>
    </xdr:from>
    <xdr:ext cx="381000" cy="381000"/>
    <xdr:pic>
      <xdr:nvPicPr>
        <xdr:cNvPr id="97" name="image20.png">
          <a:extLst>
            <a:ext uri="{FF2B5EF4-FFF2-40B4-BE49-F238E27FC236}">
              <a16:creationId xmlns:a16="http://schemas.microsoft.com/office/drawing/2014/main" id="{00000000-0008-0000-0E00-000061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97</xdr:row>
      <xdr:rowOff>0</xdr:rowOff>
    </xdr:from>
    <xdr:ext cx="381000" cy="381000"/>
    <xdr:pic>
      <xdr:nvPicPr>
        <xdr:cNvPr id="98" name="image20.png">
          <a:extLst>
            <a:ext uri="{FF2B5EF4-FFF2-40B4-BE49-F238E27FC236}">
              <a16:creationId xmlns:a16="http://schemas.microsoft.com/office/drawing/2014/main" id="{00000000-0008-0000-0E00-000062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98</xdr:row>
      <xdr:rowOff>0</xdr:rowOff>
    </xdr:from>
    <xdr:ext cx="381000" cy="381000"/>
    <xdr:pic>
      <xdr:nvPicPr>
        <xdr:cNvPr id="99" name="image20.png">
          <a:extLst>
            <a:ext uri="{FF2B5EF4-FFF2-40B4-BE49-F238E27FC236}">
              <a16:creationId xmlns:a16="http://schemas.microsoft.com/office/drawing/2014/main" id="{00000000-0008-0000-0E00-000063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99</xdr:row>
      <xdr:rowOff>0</xdr:rowOff>
    </xdr:from>
    <xdr:ext cx="381000" cy="381000"/>
    <xdr:pic>
      <xdr:nvPicPr>
        <xdr:cNvPr id="100" name="image20.png">
          <a:extLst>
            <a:ext uri="{FF2B5EF4-FFF2-40B4-BE49-F238E27FC236}">
              <a16:creationId xmlns:a16="http://schemas.microsoft.com/office/drawing/2014/main" id="{00000000-0008-0000-0E00-000064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100</xdr:row>
      <xdr:rowOff>0</xdr:rowOff>
    </xdr:from>
    <xdr:ext cx="381000" cy="381000"/>
    <xdr:pic>
      <xdr:nvPicPr>
        <xdr:cNvPr id="101" name="image20.png">
          <a:extLst>
            <a:ext uri="{FF2B5EF4-FFF2-40B4-BE49-F238E27FC236}">
              <a16:creationId xmlns:a16="http://schemas.microsoft.com/office/drawing/2014/main" id="{00000000-0008-0000-0E00-000065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101</xdr:row>
      <xdr:rowOff>0</xdr:rowOff>
    </xdr:from>
    <xdr:ext cx="381000" cy="381000"/>
    <xdr:pic>
      <xdr:nvPicPr>
        <xdr:cNvPr id="102" name="image20.png">
          <a:extLst>
            <a:ext uri="{FF2B5EF4-FFF2-40B4-BE49-F238E27FC236}">
              <a16:creationId xmlns:a16="http://schemas.microsoft.com/office/drawing/2014/main" id="{00000000-0008-0000-0E00-00006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102</xdr:row>
      <xdr:rowOff>0</xdr:rowOff>
    </xdr:from>
    <xdr:ext cx="381000" cy="381000"/>
    <xdr:pic>
      <xdr:nvPicPr>
        <xdr:cNvPr id="103" name="image20.png">
          <a:extLst>
            <a:ext uri="{FF2B5EF4-FFF2-40B4-BE49-F238E27FC236}">
              <a16:creationId xmlns:a16="http://schemas.microsoft.com/office/drawing/2014/main" id="{00000000-0008-0000-0E00-00006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103</xdr:row>
      <xdr:rowOff>0</xdr:rowOff>
    </xdr:from>
    <xdr:ext cx="381000" cy="381000"/>
    <xdr:pic>
      <xdr:nvPicPr>
        <xdr:cNvPr id="104" name="image20.png">
          <a:extLst>
            <a:ext uri="{FF2B5EF4-FFF2-40B4-BE49-F238E27FC236}">
              <a16:creationId xmlns:a16="http://schemas.microsoft.com/office/drawing/2014/main" id="{00000000-0008-0000-0E00-00006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104</xdr:row>
      <xdr:rowOff>0</xdr:rowOff>
    </xdr:from>
    <xdr:ext cx="381000" cy="381000"/>
    <xdr:pic>
      <xdr:nvPicPr>
        <xdr:cNvPr id="105" name="image180.jpg">
          <a:extLst>
            <a:ext uri="{FF2B5EF4-FFF2-40B4-BE49-F238E27FC236}">
              <a16:creationId xmlns:a16="http://schemas.microsoft.com/office/drawing/2014/main" id="{00000000-0008-0000-0E00-000069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105</xdr:row>
      <xdr:rowOff>0</xdr:rowOff>
    </xdr:from>
    <xdr:ext cx="381000" cy="381000"/>
    <xdr:pic>
      <xdr:nvPicPr>
        <xdr:cNvPr id="106" name="image180.jpg">
          <a:extLst>
            <a:ext uri="{FF2B5EF4-FFF2-40B4-BE49-F238E27FC236}">
              <a16:creationId xmlns:a16="http://schemas.microsoft.com/office/drawing/2014/main" id="{00000000-0008-0000-0E00-00006A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106</xdr:row>
      <xdr:rowOff>0</xdr:rowOff>
    </xdr:from>
    <xdr:ext cx="381000" cy="381000"/>
    <xdr:pic>
      <xdr:nvPicPr>
        <xdr:cNvPr id="107" name="image180.jpg">
          <a:extLst>
            <a:ext uri="{FF2B5EF4-FFF2-40B4-BE49-F238E27FC236}">
              <a16:creationId xmlns:a16="http://schemas.microsoft.com/office/drawing/2014/main" id="{00000000-0008-0000-0E00-00006B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107</xdr:row>
      <xdr:rowOff>0</xdr:rowOff>
    </xdr:from>
    <xdr:ext cx="381000" cy="381000"/>
    <xdr:pic>
      <xdr:nvPicPr>
        <xdr:cNvPr id="108" name="image180.jpg">
          <a:extLst>
            <a:ext uri="{FF2B5EF4-FFF2-40B4-BE49-F238E27FC236}">
              <a16:creationId xmlns:a16="http://schemas.microsoft.com/office/drawing/2014/main" id="{00000000-0008-0000-0E00-00006C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108</xdr:row>
      <xdr:rowOff>0</xdr:rowOff>
    </xdr:from>
    <xdr:ext cx="381000" cy="381000"/>
    <xdr:pic>
      <xdr:nvPicPr>
        <xdr:cNvPr id="109" name="image180.jpg">
          <a:extLst>
            <a:ext uri="{FF2B5EF4-FFF2-40B4-BE49-F238E27FC236}">
              <a16:creationId xmlns:a16="http://schemas.microsoft.com/office/drawing/2014/main" id="{00000000-0008-0000-0E00-00006D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109</xdr:row>
      <xdr:rowOff>0</xdr:rowOff>
    </xdr:from>
    <xdr:ext cx="381000" cy="381000"/>
    <xdr:pic>
      <xdr:nvPicPr>
        <xdr:cNvPr id="110" name="image180.jpg">
          <a:extLst>
            <a:ext uri="{FF2B5EF4-FFF2-40B4-BE49-F238E27FC236}">
              <a16:creationId xmlns:a16="http://schemas.microsoft.com/office/drawing/2014/main" id="{00000000-0008-0000-0E00-00006E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110</xdr:row>
      <xdr:rowOff>0</xdr:rowOff>
    </xdr:from>
    <xdr:ext cx="381000" cy="381000"/>
    <xdr:pic>
      <xdr:nvPicPr>
        <xdr:cNvPr id="111" name="image180.jpg">
          <a:extLst>
            <a:ext uri="{FF2B5EF4-FFF2-40B4-BE49-F238E27FC236}">
              <a16:creationId xmlns:a16="http://schemas.microsoft.com/office/drawing/2014/main" id="{00000000-0008-0000-0E00-00006F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111</xdr:row>
      <xdr:rowOff>0</xdr:rowOff>
    </xdr:from>
    <xdr:ext cx="381000" cy="381000"/>
    <xdr:pic>
      <xdr:nvPicPr>
        <xdr:cNvPr id="112" name="image180.jpg">
          <a:extLst>
            <a:ext uri="{FF2B5EF4-FFF2-40B4-BE49-F238E27FC236}">
              <a16:creationId xmlns:a16="http://schemas.microsoft.com/office/drawing/2014/main" id="{00000000-0008-0000-0E00-000070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112</xdr:row>
      <xdr:rowOff>0</xdr:rowOff>
    </xdr:from>
    <xdr:ext cx="381000" cy="381000"/>
    <xdr:pic>
      <xdr:nvPicPr>
        <xdr:cNvPr id="113" name="image180.jpg">
          <a:extLst>
            <a:ext uri="{FF2B5EF4-FFF2-40B4-BE49-F238E27FC236}">
              <a16:creationId xmlns:a16="http://schemas.microsoft.com/office/drawing/2014/main" id="{00000000-0008-0000-0E00-000071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113</xdr:row>
      <xdr:rowOff>0</xdr:rowOff>
    </xdr:from>
    <xdr:ext cx="381000" cy="381000"/>
    <xdr:pic>
      <xdr:nvPicPr>
        <xdr:cNvPr id="114" name="image180.jpg">
          <a:extLst>
            <a:ext uri="{FF2B5EF4-FFF2-40B4-BE49-F238E27FC236}">
              <a16:creationId xmlns:a16="http://schemas.microsoft.com/office/drawing/2014/main" id="{00000000-0008-0000-0E00-000072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114</xdr:row>
      <xdr:rowOff>0</xdr:rowOff>
    </xdr:from>
    <xdr:ext cx="381000" cy="381000"/>
    <xdr:pic>
      <xdr:nvPicPr>
        <xdr:cNvPr id="115" name="image180.jpg">
          <a:extLst>
            <a:ext uri="{FF2B5EF4-FFF2-40B4-BE49-F238E27FC236}">
              <a16:creationId xmlns:a16="http://schemas.microsoft.com/office/drawing/2014/main" id="{00000000-0008-0000-0E00-000073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115</xdr:row>
      <xdr:rowOff>0</xdr:rowOff>
    </xdr:from>
    <xdr:ext cx="381000" cy="381000"/>
    <xdr:pic>
      <xdr:nvPicPr>
        <xdr:cNvPr id="116" name="image180.jpg">
          <a:extLst>
            <a:ext uri="{FF2B5EF4-FFF2-40B4-BE49-F238E27FC236}">
              <a16:creationId xmlns:a16="http://schemas.microsoft.com/office/drawing/2014/main" id="{00000000-0008-0000-0E00-000074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116</xdr:row>
      <xdr:rowOff>0</xdr:rowOff>
    </xdr:from>
    <xdr:ext cx="381000" cy="381000"/>
    <xdr:pic>
      <xdr:nvPicPr>
        <xdr:cNvPr id="117" name="image180.jpg">
          <a:extLst>
            <a:ext uri="{FF2B5EF4-FFF2-40B4-BE49-F238E27FC236}">
              <a16:creationId xmlns:a16="http://schemas.microsoft.com/office/drawing/2014/main" id="{00000000-0008-0000-0E00-000075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117</xdr:row>
      <xdr:rowOff>0</xdr:rowOff>
    </xdr:from>
    <xdr:ext cx="381000" cy="381000"/>
    <xdr:pic>
      <xdr:nvPicPr>
        <xdr:cNvPr id="118" name="image180.jpg">
          <a:extLst>
            <a:ext uri="{FF2B5EF4-FFF2-40B4-BE49-F238E27FC236}">
              <a16:creationId xmlns:a16="http://schemas.microsoft.com/office/drawing/2014/main" id="{00000000-0008-0000-0E00-000076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118</xdr:row>
      <xdr:rowOff>0</xdr:rowOff>
    </xdr:from>
    <xdr:ext cx="381000" cy="381000"/>
    <xdr:pic>
      <xdr:nvPicPr>
        <xdr:cNvPr id="119" name="image180.jpg">
          <a:extLst>
            <a:ext uri="{FF2B5EF4-FFF2-40B4-BE49-F238E27FC236}">
              <a16:creationId xmlns:a16="http://schemas.microsoft.com/office/drawing/2014/main" id="{00000000-0008-0000-0E00-00007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119</xdr:row>
      <xdr:rowOff>0</xdr:rowOff>
    </xdr:from>
    <xdr:ext cx="381000" cy="381000"/>
    <xdr:pic>
      <xdr:nvPicPr>
        <xdr:cNvPr id="120" name="image180.jpg">
          <a:extLst>
            <a:ext uri="{FF2B5EF4-FFF2-40B4-BE49-F238E27FC236}">
              <a16:creationId xmlns:a16="http://schemas.microsoft.com/office/drawing/2014/main" id="{00000000-0008-0000-0E00-00007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120</xdr:row>
      <xdr:rowOff>0</xdr:rowOff>
    </xdr:from>
    <xdr:ext cx="381000" cy="381000"/>
    <xdr:pic>
      <xdr:nvPicPr>
        <xdr:cNvPr id="121" name="image180.jpg">
          <a:extLst>
            <a:ext uri="{FF2B5EF4-FFF2-40B4-BE49-F238E27FC236}">
              <a16:creationId xmlns:a16="http://schemas.microsoft.com/office/drawing/2014/main" id="{00000000-0008-0000-0E00-000079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121</xdr:row>
      <xdr:rowOff>0</xdr:rowOff>
    </xdr:from>
    <xdr:ext cx="381000" cy="381000"/>
    <xdr:pic>
      <xdr:nvPicPr>
        <xdr:cNvPr id="122" name="image180.jpg">
          <a:extLst>
            <a:ext uri="{FF2B5EF4-FFF2-40B4-BE49-F238E27FC236}">
              <a16:creationId xmlns:a16="http://schemas.microsoft.com/office/drawing/2014/main" id="{00000000-0008-0000-0E00-00007A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122</xdr:row>
      <xdr:rowOff>0</xdr:rowOff>
    </xdr:from>
    <xdr:ext cx="381000" cy="381000"/>
    <xdr:pic>
      <xdr:nvPicPr>
        <xdr:cNvPr id="123" name="image180.jpg">
          <a:extLst>
            <a:ext uri="{FF2B5EF4-FFF2-40B4-BE49-F238E27FC236}">
              <a16:creationId xmlns:a16="http://schemas.microsoft.com/office/drawing/2014/main" id="{00000000-0008-0000-0E00-00007B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123</xdr:row>
      <xdr:rowOff>0</xdr:rowOff>
    </xdr:from>
    <xdr:ext cx="381000" cy="381000"/>
    <xdr:pic>
      <xdr:nvPicPr>
        <xdr:cNvPr id="124" name="image180.jpg">
          <a:extLst>
            <a:ext uri="{FF2B5EF4-FFF2-40B4-BE49-F238E27FC236}">
              <a16:creationId xmlns:a16="http://schemas.microsoft.com/office/drawing/2014/main" id="{00000000-0008-0000-0E00-00007C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124</xdr:row>
      <xdr:rowOff>0</xdr:rowOff>
    </xdr:from>
    <xdr:ext cx="381000" cy="381000"/>
    <xdr:pic>
      <xdr:nvPicPr>
        <xdr:cNvPr id="125" name="image123.jpg">
          <a:extLst>
            <a:ext uri="{FF2B5EF4-FFF2-40B4-BE49-F238E27FC236}">
              <a16:creationId xmlns:a16="http://schemas.microsoft.com/office/drawing/2014/main" id="{00000000-0008-0000-0E00-00007D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0</xdr:colOff>
      <xdr:row>125</xdr:row>
      <xdr:rowOff>0</xdr:rowOff>
    </xdr:from>
    <xdr:ext cx="381000" cy="381000"/>
    <xdr:pic>
      <xdr:nvPicPr>
        <xdr:cNvPr id="126" name="image123.jpg">
          <a:extLst>
            <a:ext uri="{FF2B5EF4-FFF2-40B4-BE49-F238E27FC236}">
              <a16:creationId xmlns:a16="http://schemas.microsoft.com/office/drawing/2014/main" id="{00000000-0008-0000-0E00-00007E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0</xdr:colOff>
      <xdr:row>126</xdr:row>
      <xdr:rowOff>0</xdr:rowOff>
    </xdr:from>
    <xdr:ext cx="381000" cy="381000"/>
    <xdr:pic>
      <xdr:nvPicPr>
        <xdr:cNvPr id="127" name="image218.jpg">
          <a:extLst>
            <a:ext uri="{FF2B5EF4-FFF2-40B4-BE49-F238E27FC236}">
              <a16:creationId xmlns:a16="http://schemas.microsoft.com/office/drawing/2014/main" id="{00000000-0008-0000-0E00-00007F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127</xdr:row>
      <xdr:rowOff>0</xdr:rowOff>
    </xdr:from>
    <xdr:ext cx="381000" cy="381000"/>
    <xdr:pic>
      <xdr:nvPicPr>
        <xdr:cNvPr id="128" name="image218.jpg">
          <a:extLst>
            <a:ext uri="{FF2B5EF4-FFF2-40B4-BE49-F238E27FC236}">
              <a16:creationId xmlns:a16="http://schemas.microsoft.com/office/drawing/2014/main" id="{00000000-0008-0000-0E00-000080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128</xdr:row>
      <xdr:rowOff>0</xdr:rowOff>
    </xdr:from>
    <xdr:ext cx="381000" cy="381000"/>
    <xdr:pic>
      <xdr:nvPicPr>
        <xdr:cNvPr id="129" name="image218.jpg">
          <a:extLst>
            <a:ext uri="{FF2B5EF4-FFF2-40B4-BE49-F238E27FC236}">
              <a16:creationId xmlns:a16="http://schemas.microsoft.com/office/drawing/2014/main" id="{00000000-0008-0000-0E00-000081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129</xdr:row>
      <xdr:rowOff>0</xdr:rowOff>
    </xdr:from>
    <xdr:ext cx="381000" cy="381000"/>
    <xdr:pic>
      <xdr:nvPicPr>
        <xdr:cNvPr id="130" name="image218.jpg">
          <a:extLst>
            <a:ext uri="{FF2B5EF4-FFF2-40B4-BE49-F238E27FC236}">
              <a16:creationId xmlns:a16="http://schemas.microsoft.com/office/drawing/2014/main" id="{00000000-0008-0000-0E00-000082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130</xdr:row>
      <xdr:rowOff>0</xdr:rowOff>
    </xdr:from>
    <xdr:ext cx="381000" cy="381000"/>
    <xdr:pic>
      <xdr:nvPicPr>
        <xdr:cNvPr id="131" name="image218.jpg">
          <a:extLst>
            <a:ext uri="{FF2B5EF4-FFF2-40B4-BE49-F238E27FC236}">
              <a16:creationId xmlns:a16="http://schemas.microsoft.com/office/drawing/2014/main" id="{00000000-0008-0000-0E00-000083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131</xdr:row>
      <xdr:rowOff>0</xdr:rowOff>
    </xdr:from>
    <xdr:ext cx="381000" cy="381000"/>
    <xdr:pic>
      <xdr:nvPicPr>
        <xdr:cNvPr id="132" name="image218.jpg">
          <a:extLst>
            <a:ext uri="{FF2B5EF4-FFF2-40B4-BE49-F238E27FC236}">
              <a16:creationId xmlns:a16="http://schemas.microsoft.com/office/drawing/2014/main" id="{00000000-0008-0000-0E00-000084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132</xdr:row>
      <xdr:rowOff>0</xdr:rowOff>
    </xdr:from>
    <xdr:ext cx="381000" cy="381000"/>
    <xdr:pic>
      <xdr:nvPicPr>
        <xdr:cNvPr id="133" name="image218.jpg">
          <a:extLst>
            <a:ext uri="{FF2B5EF4-FFF2-40B4-BE49-F238E27FC236}">
              <a16:creationId xmlns:a16="http://schemas.microsoft.com/office/drawing/2014/main" id="{00000000-0008-0000-0E00-000085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133</xdr:row>
      <xdr:rowOff>0</xdr:rowOff>
    </xdr:from>
    <xdr:ext cx="381000" cy="381000"/>
    <xdr:pic>
      <xdr:nvPicPr>
        <xdr:cNvPr id="134" name="image218.jpg">
          <a:extLst>
            <a:ext uri="{FF2B5EF4-FFF2-40B4-BE49-F238E27FC236}">
              <a16:creationId xmlns:a16="http://schemas.microsoft.com/office/drawing/2014/main" id="{00000000-0008-0000-0E00-000086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134</xdr:row>
      <xdr:rowOff>0</xdr:rowOff>
    </xdr:from>
    <xdr:ext cx="381000" cy="381000"/>
    <xdr:pic>
      <xdr:nvPicPr>
        <xdr:cNvPr id="135" name="image218.jpg">
          <a:extLst>
            <a:ext uri="{FF2B5EF4-FFF2-40B4-BE49-F238E27FC236}">
              <a16:creationId xmlns:a16="http://schemas.microsoft.com/office/drawing/2014/main" id="{00000000-0008-0000-0E00-000087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135</xdr:row>
      <xdr:rowOff>0</xdr:rowOff>
    </xdr:from>
    <xdr:ext cx="381000" cy="381000"/>
    <xdr:pic>
      <xdr:nvPicPr>
        <xdr:cNvPr id="136" name="image218.jpg">
          <a:extLst>
            <a:ext uri="{FF2B5EF4-FFF2-40B4-BE49-F238E27FC236}">
              <a16:creationId xmlns:a16="http://schemas.microsoft.com/office/drawing/2014/main" id="{00000000-0008-0000-0E00-000088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136</xdr:row>
      <xdr:rowOff>0</xdr:rowOff>
    </xdr:from>
    <xdr:ext cx="381000" cy="381000"/>
    <xdr:pic>
      <xdr:nvPicPr>
        <xdr:cNvPr id="137" name="image218.jpg">
          <a:extLst>
            <a:ext uri="{FF2B5EF4-FFF2-40B4-BE49-F238E27FC236}">
              <a16:creationId xmlns:a16="http://schemas.microsoft.com/office/drawing/2014/main" id="{00000000-0008-0000-0E00-00008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137</xdr:row>
      <xdr:rowOff>0</xdr:rowOff>
    </xdr:from>
    <xdr:ext cx="381000" cy="381000"/>
    <xdr:pic>
      <xdr:nvPicPr>
        <xdr:cNvPr id="138" name="image218.jpg">
          <a:extLst>
            <a:ext uri="{FF2B5EF4-FFF2-40B4-BE49-F238E27FC236}">
              <a16:creationId xmlns:a16="http://schemas.microsoft.com/office/drawing/2014/main" id="{00000000-0008-0000-0E00-00008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138</xdr:row>
      <xdr:rowOff>0</xdr:rowOff>
    </xdr:from>
    <xdr:ext cx="381000" cy="381000"/>
    <xdr:pic>
      <xdr:nvPicPr>
        <xdr:cNvPr id="139" name="image218.jpg">
          <a:extLst>
            <a:ext uri="{FF2B5EF4-FFF2-40B4-BE49-F238E27FC236}">
              <a16:creationId xmlns:a16="http://schemas.microsoft.com/office/drawing/2014/main" id="{00000000-0008-0000-0E00-00008B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139</xdr:row>
      <xdr:rowOff>0</xdr:rowOff>
    </xdr:from>
    <xdr:ext cx="381000" cy="381000"/>
    <xdr:pic>
      <xdr:nvPicPr>
        <xdr:cNvPr id="140" name="image218.jpg">
          <a:extLst>
            <a:ext uri="{FF2B5EF4-FFF2-40B4-BE49-F238E27FC236}">
              <a16:creationId xmlns:a16="http://schemas.microsoft.com/office/drawing/2014/main" id="{00000000-0008-0000-0E00-00008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140</xdr:row>
      <xdr:rowOff>0</xdr:rowOff>
    </xdr:from>
    <xdr:ext cx="381000" cy="381000"/>
    <xdr:pic>
      <xdr:nvPicPr>
        <xdr:cNvPr id="141" name="image218.jpg">
          <a:extLst>
            <a:ext uri="{FF2B5EF4-FFF2-40B4-BE49-F238E27FC236}">
              <a16:creationId xmlns:a16="http://schemas.microsoft.com/office/drawing/2014/main" id="{00000000-0008-0000-0E00-00008D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141</xdr:row>
      <xdr:rowOff>0</xdr:rowOff>
    </xdr:from>
    <xdr:ext cx="381000" cy="381000"/>
    <xdr:pic>
      <xdr:nvPicPr>
        <xdr:cNvPr id="142" name="image218.jpg">
          <a:extLst>
            <a:ext uri="{FF2B5EF4-FFF2-40B4-BE49-F238E27FC236}">
              <a16:creationId xmlns:a16="http://schemas.microsoft.com/office/drawing/2014/main" id="{00000000-0008-0000-0E00-00008E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142</xdr:row>
      <xdr:rowOff>0</xdr:rowOff>
    </xdr:from>
    <xdr:ext cx="381000" cy="381000"/>
    <xdr:pic>
      <xdr:nvPicPr>
        <xdr:cNvPr id="143" name="image218.jpg">
          <a:extLst>
            <a:ext uri="{FF2B5EF4-FFF2-40B4-BE49-F238E27FC236}">
              <a16:creationId xmlns:a16="http://schemas.microsoft.com/office/drawing/2014/main" id="{00000000-0008-0000-0E00-00008F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143</xdr:row>
      <xdr:rowOff>0</xdr:rowOff>
    </xdr:from>
    <xdr:ext cx="381000" cy="381000"/>
    <xdr:pic>
      <xdr:nvPicPr>
        <xdr:cNvPr id="144" name="image218.jpg">
          <a:extLst>
            <a:ext uri="{FF2B5EF4-FFF2-40B4-BE49-F238E27FC236}">
              <a16:creationId xmlns:a16="http://schemas.microsoft.com/office/drawing/2014/main" id="{00000000-0008-0000-0E00-000090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144</xdr:row>
      <xdr:rowOff>0</xdr:rowOff>
    </xdr:from>
    <xdr:ext cx="381000" cy="381000"/>
    <xdr:pic>
      <xdr:nvPicPr>
        <xdr:cNvPr id="145" name="image218.jpg">
          <a:extLst>
            <a:ext uri="{FF2B5EF4-FFF2-40B4-BE49-F238E27FC236}">
              <a16:creationId xmlns:a16="http://schemas.microsoft.com/office/drawing/2014/main" id="{00000000-0008-0000-0E00-000091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145</xdr:row>
      <xdr:rowOff>0</xdr:rowOff>
    </xdr:from>
    <xdr:ext cx="381000" cy="381000"/>
    <xdr:pic>
      <xdr:nvPicPr>
        <xdr:cNvPr id="146" name="image218.jpg">
          <a:extLst>
            <a:ext uri="{FF2B5EF4-FFF2-40B4-BE49-F238E27FC236}">
              <a16:creationId xmlns:a16="http://schemas.microsoft.com/office/drawing/2014/main" id="{00000000-0008-0000-0E00-000092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146</xdr:row>
      <xdr:rowOff>0</xdr:rowOff>
    </xdr:from>
    <xdr:ext cx="381000" cy="381000"/>
    <xdr:pic>
      <xdr:nvPicPr>
        <xdr:cNvPr id="147" name="image218.jpg">
          <a:extLst>
            <a:ext uri="{FF2B5EF4-FFF2-40B4-BE49-F238E27FC236}">
              <a16:creationId xmlns:a16="http://schemas.microsoft.com/office/drawing/2014/main" id="{00000000-0008-0000-0E00-000093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147</xdr:row>
      <xdr:rowOff>0</xdr:rowOff>
    </xdr:from>
    <xdr:ext cx="381000" cy="381000"/>
    <xdr:pic>
      <xdr:nvPicPr>
        <xdr:cNvPr id="148" name="image218.jpg">
          <a:extLst>
            <a:ext uri="{FF2B5EF4-FFF2-40B4-BE49-F238E27FC236}">
              <a16:creationId xmlns:a16="http://schemas.microsoft.com/office/drawing/2014/main" id="{00000000-0008-0000-0E00-000094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148</xdr:row>
      <xdr:rowOff>0</xdr:rowOff>
    </xdr:from>
    <xdr:ext cx="381000" cy="381000"/>
    <xdr:pic>
      <xdr:nvPicPr>
        <xdr:cNvPr id="149" name="image218.jpg">
          <a:extLst>
            <a:ext uri="{FF2B5EF4-FFF2-40B4-BE49-F238E27FC236}">
              <a16:creationId xmlns:a16="http://schemas.microsoft.com/office/drawing/2014/main" id="{00000000-0008-0000-0E00-000095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149</xdr:row>
      <xdr:rowOff>0</xdr:rowOff>
    </xdr:from>
    <xdr:ext cx="381000" cy="381000"/>
    <xdr:pic>
      <xdr:nvPicPr>
        <xdr:cNvPr id="150" name="image101.jpg">
          <a:extLst>
            <a:ext uri="{FF2B5EF4-FFF2-40B4-BE49-F238E27FC236}">
              <a16:creationId xmlns:a16="http://schemas.microsoft.com/office/drawing/2014/main" id="{00000000-0008-0000-0E00-000096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150</xdr:row>
      <xdr:rowOff>0</xdr:rowOff>
    </xdr:from>
    <xdr:ext cx="381000" cy="381000"/>
    <xdr:pic>
      <xdr:nvPicPr>
        <xdr:cNvPr id="151" name="image101.jpg">
          <a:extLst>
            <a:ext uri="{FF2B5EF4-FFF2-40B4-BE49-F238E27FC236}">
              <a16:creationId xmlns:a16="http://schemas.microsoft.com/office/drawing/2014/main" id="{00000000-0008-0000-0E00-00009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151</xdr:row>
      <xdr:rowOff>0</xdr:rowOff>
    </xdr:from>
    <xdr:ext cx="381000" cy="381000"/>
    <xdr:pic>
      <xdr:nvPicPr>
        <xdr:cNvPr id="152" name="image101.jpg">
          <a:extLst>
            <a:ext uri="{FF2B5EF4-FFF2-40B4-BE49-F238E27FC236}">
              <a16:creationId xmlns:a16="http://schemas.microsoft.com/office/drawing/2014/main" id="{00000000-0008-0000-0E00-000098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152</xdr:row>
      <xdr:rowOff>0</xdr:rowOff>
    </xdr:from>
    <xdr:ext cx="381000" cy="381000"/>
    <xdr:pic>
      <xdr:nvPicPr>
        <xdr:cNvPr id="153" name="image101.jpg">
          <a:extLst>
            <a:ext uri="{FF2B5EF4-FFF2-40B4-BE49-F238E27FC236}">
              <a16:creationId xmlns:a16="http://schemas.microsoft.com/office/drawing/2014/main" id="{00000000-0008-0000-0E00-000099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153</xdr:row>
      <xdr:rowOff>0</xdr:rowOff>
    </xdr:from>
    <xdr:ext cx="381000" cy="381000"/>
    <xdr:pic>
      <xdr:nvPicPr>
        <xdr:cNvPr id="154" name="image101.jpg">
          <a:extLst>
            <a:ext uri="{FF2B5EF4-FFF2-40B4-BE49-F238E27FC236}">
              <a16:creationId xmlns:a16="http://schemas.microsoft.com/office/drawing/2014/main" id="{00000000-0008-0000-0E00-00009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154</xdr:row>
      <xdr:rowOff>0</xdr:rowOff>
    </xdr:from>
    <xdr:ext cx="381000" cy="381000"/>
    <xdr:pic>
      <xdr:nvPicPr>
        <xdr:cNvPr id="155" name="image101.jpg">
          <a:extLst>
            <a:ext uri="{FF2B5EF4-FFF2-40B4-BE49-F238E27FC236}">
              <a16:creationId xmlns:a16="http://schemas.microsoft.com/office/drawing/2014/main" id="{00000000-0008-0000-0E00-00009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155</xdr:row>
      <xdr:rowOff>0</xdr:rowOff>
    </xdr:from>
    <xdr:ext cx="381000" cy="381000"/>
    <xdr:pic>
      <xdr:nvPicPr>
        <xdr:cNvPr id="156" name="image101.jpg">
          <a:extLst>
            <a:ext uri="{FF2B5EF4-FFF2-40B4-BE49-F238E27FC236}">
              <a16:creationId xmlns:a16="http://schemas.microsoft.com/office/drawing/2014/main" id="{00000000-0008-0000-0E00-00009C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156</xdr:row>
      <xdr:rowOff>0</xdr:rowOff>
    </xdr:from>
    <xdr:ext cx="381000" cy="381000"/>
    <xdr:pic>
      <xdr:nvPicPr>
        <xdr:cNvPr id="157" name="image101.jpg">
          <a:extLst>
            <a:ext uri="{FF2B5EF4-FFF2-40B4-BE49-F238E27FC236}">
              <a16:creationId xmlns:a16="http://schemas.microsoft.com/office/drawing/2014/main" id="{00000000-0008-0000-0E00-00009D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157</xdr:row>
      <xdr:rowOff>0</xdr:rowOff>
    </xdr:from>
    <xdr:ext cx="381000" cy="381000"/>
    <xdr:pic>
      <xdr:nvPicPr>
        <xdr:cNvPr id="158" name="image101.jpg">
          <a:extLst>
            <a:ext uri="{FF2B5EF4-FFF2-40B4-BE49-F238E27FC236}">
              <a16:creationId xmlns:a16="http://schemas.microsoft.com/office/drawing/2014/main" id="{00000000-0008-0000-0E00-00009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158</xdr:row>
      <xdr:rowOff>0</xdr:rowOff>
    </xdr:from>
    <xdr:ext cx="381000" cy="381000"/>
    <xdr:pic>
      <xdr:nvPicPr>
        <xdr:cNvPr id="159" name="image101.jpg">
          <a:extLst>
            <a:ext uri="{FF2B5EF4-FFF2-40B4-BE49-F238E27FC236}">
              <a16:creationId xmlns:a16="http://schemas.microsoft.com/office/drawing/2014/main" id="{00000000-0008-0000-0E00-00009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159</xdr:row>
      <xdr:rowOff>0</xdr:rowOff>
    </xdr:from>
    <xdr:ext cx="381000" cy="381000"/>
    <xdr:pic>
      <xdr:nvPicPr>
        <xdr:cNvPr id="160" name="image101.jpg">
          <a:extLst>
            <a:ext uri="{FF2B5EF4-FFF2-40B4-BE49-F238E27FC236}">
              <a16:creationId xmlns:a16="http://schemas.microsoft.com/office/drawing/2014/main" id="{00000000-0008-0000-0E00-0000A0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160</xdr:row>
      <xdr:rowOff>0</xdr:rowOff>
    </xdr:from>
    <xdr:ext cx="381000" cy="381000"/>
    <xdr:pic>
      <xdr:nvPicPr>
        <xdr:cNvPr id="161" name="image101.jpg">
          <a:extLst>
            <a:ext uri="{FF2B5EF4-FFF2-40B4-BE49-F238E27FC236}">
              <a16:creationId xmlns:a16="http://schemas.microsoft.com/office/drawing/2014/main" id="{00000000-0008-0000-0E00-0000A1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161</xdr:row>
      <xdr:rowOff>0</xdr:rowOff>
    </xdr:from>
    <xdr:ext cx="381000" cy="381000"/>
    <xdr:pic>
      <xdr:nvPicPr>
        <xdr:cNvPr id="162" name="image101.jpg">
          <a:extLst>
            <a:ext uri="{FF2B5EF4-FFF2-40B4-BE49-F238E27FC236}">
              <a16:creationId xmlns:a16="http://schemas.microsoft.com/office/drawing/2014/main" id="{00000000-0008-0000-0E00-0000A2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162</xdr:row>
      <xdr:rowOff>0</xdr:rowOff>
    </xdr:from>
    <xdr:ext cx="381000" cy="381000"/>
    <xdr:pic>
      <xdr:nvPicPr>
        <xdr:cNvPr id="163" name="image101.jpg">
          <a:extLst>
            <a:ext uri="{FF2B5EF4-FFF2-40B4-BE49-F238E27FC236}">
              <a16:creationId xmlns:a16="http://schemas.microsoft.com/office/drawing/2014/main" id="{00000000-0008-0000-0E00-0000A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163</xdr:row>
      <xdr:rowOff>0</xdr:rowOff>
    </xdr:from>
    <xdr:ext cx="381000" cy="381000"/>
    <xdr:pic>
      <xdr:nvPicPr>
        <xdr:cNvPr id="164" name="image101.jpg">
          <a:extLst>
            <a:ext uri="{FF2B5EF4-FFF2-40B4-BE49-F238E27FC236}">
              <a16:creationId xmlns:a16="http://schemas.microsoft.com/office/drawing/2014/main" id="{00000000-0008-0000-0E00-0000A4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164</xdr:row>
      <xdr:rowOff>0</xdr:rowOff>
    </xdr:from>
    <xdr:ext cx="381000" cy="381000"/>
    <xdr:pic>
      <xdr:nvPicPr>
        <xdr:cNvPr id="165" name="image101.jpg">
          <a:extLst>
            <a:ext uri="{FF2B5EF4-FFF2-40B4-BE49-F238E27FC236}">
              <a16:creationId xmlns:a16="http://schemas.microsoft.com/office/drawing/2014/main" id="{00000000-0008-0000-0E00-0000A5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165</xdr:row>
      <xdr:rowOff>0</xdr:rowOff>
    </xdr:from>
    <xdr:ext cx="381000" cy="381000"/>
    <xdr:pic>
      <xdr:nvPicPr>
        <xdr:cNvPr id="166" name="image101.jpg">
          <a:extLst>
            <a:ext uri="{FF2B5EF4-FFF2-40B4-BE49-F238E27FC236}">
              <a16:creationId xmlns:a16="http://schemas.microsoft.com/office/drawing/2014/main" id="{00000000-0008-0000-0E00-0000A6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166</xdr:row>
      <xdr:rowOff>0</xdr:rowOff>
    </xdr:from>
    <xdr:ext cx="381000" cy="381000"/>
    <xdr:pic>
      <xdr:nvPicPr>
        <xdr:cNvPr id="167" name="image101.jpg">
          <a:extLst>
            <a:ext uri="{FF2B5EF4-FFF2-40B4-BE49-F238E27FC236}">
              <a16:creationId xmlns:a16="http://schemas.microsoft.com/office/drawing/2014/main" id="{00000000-0008-0000-0E00-0000A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167</xdr:row>
      <xdr:rowOff>0</xdr:rowOff>
    </xdr:from>
    <xdr:ext cx="381000" cy="381000"/>
    <xdr:pic>
      <xdr:nvPicPr>
        <xdr:cNvPr id="168" name="image101.jpg">
          <a:extLst>
            <a:ext uri="{FF2B5EF4-FFF2-40B4-BE49-F238E27FC236}">
              <a16:creationId xmlns:a16="http://schemas.microsoft.com/office/drawing/2014/main" id="{00000000-0008-0000-0E00-0000A8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168</xdr:row>
      <xdr:rowOff>0</xdr:rowOff>
    </xdr:from>
    <xdr:ext cx="381000" cy="381000"/>
    <xdr:pic>
      <xdr:nvPicPr>
        <xdr:cNvPr id="169" name="image101.jpg">
          <a:extLst>
            <a:ext uri="{FF2B5EF4-FFF2-40B4-BE49-F238E27FC236}">
              <a16:creationId xmlns:a16="http://schemas.microsoft.com/office/drawing/2014/main" id="{00000000-0008-0000-0E00-0000A9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169</xdr:row>
      <xdr:rowOff>0</xdr:rowOff>
    </xdr:from>
    <xdr:ext cx="381000" cy="381000"/>
    <xdr:pic>
      <xdr:nvPicPr>
        <xdr:cNvPr id="170" name="image101.jpg">
          <a:extLst>
            <a:ext uri="{FF2B5EF4-FFF2-40B4-BE49-F238E27FC236}">
              <a16:creationId xmlns:a16="http://schemas.microsoft.com/office/drawing/2014/main" id="{00000000-0008-0000-0E00-0000A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170</xdr:row>
      <xdr:rowOff>0</xdr:rowOff>
    </xdr:from>
    <xdr:ext cx="381000" cy="381000"/>
    <xdr:pic>
      <xdr:nvPicPr>
        <xdr:cNvPr id="171" name="image219.jpg">
          <a:extLst>
            <a:ext uri="{FF2B5EF4-FFF2-40B4-BE49-F238E27FC236}">
              <a16:creationId xmlns:a16="http://schemas.microsoft.com/office/drawing/2014/main" id="{00000000-0008-0000-0E00-0000A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171</xdr:row>
      <xdr:rowOff>0</xdr:rowOff>
    </xdr:from>
    <xdr:ext cx="381000" cy="381000"/>
    <xdr:pic>
      <xdr:nvPicPr>
        <xdr:cNvPr id="172" name="image219.jpg">
          <a:extLst>
            <a:ext uri="{FF2B5EF4-FFF2-40B4-BE49-F238E27FC236}">
              <a16:creationId xmlns:a16="http://schemas.microsoft.com/office/drawing/2014/main" id="{00000000-0008-0000-0E00-0000AC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172</xdr:row>
      <xdr:rowOff>0</xdr:rowOff>
    </xdr:from>
    <xdr:ext cx="381000" cy="381000"/>
    <xdr:pic>
      <xdr:nvPicPr>
        <xdr:cNvPr id="173" name="image219.jpg">
          <a:extLst>
            <a:ext uri="{FF2B5EF4-FFF2-40B4-BE49-F238E27FC236}">
              <a16:creationId xmlns:a16="http://schemas.microsoft.com/office/drawing/2014/main" id="{00000000-0008-0000-0E00-0000A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173</xdr:row>
      <xdr:rowOff>0</xdr:rowOff>
    </xdr:from>
    <xdr:ext cx="381000" cy="381000"/>
    <xdr:pic>
      <xdr:nvPicPr>
        <xdr:cNvPr id="174" name="image219.jpg">
          <a:extLst>
            <a:ext uri="{FF2B5EF4-FFF2-40B4-BE49-F238E27FC236}">
              <a16:creationId xmlns:a16="http://schemas.microsoft.com/office/drawing/2014/main" id="{00000000-0008-0000-0E00-0000A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174</xdr:row>
      <xdr:rowOff>0</xdr:rowOff>
    </xdr:from>
    <xdr:ext cx="381000" cy="381000"/>
    <xdr:pic>
      <xdr:nvPicPr>
        <xdr:cNvPr id="175" name="image219.jpg">
          <a:extLst>
            <a:ext uri="{FF2B5EF4-FFF2-40B4-BE49-F238E27FC236}">
              <a16:creationId xmlns:a16="http://schemas.microsoft.com/office/drawing/2014/main" id="{00000000-0008-0000-0E00-0000AF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175</xdr:row>
      <xdr:rowOff>0</xdr:rowOff>
    </xdr:from>
    <xdr:ext cx="381000" cy="381000"/>
    <xdr:pic>
      <xdr:nvPicPr>
        <xdr:cNvPr id="176" name="image219.jpg">
          <a:extLst>
            <a:ext uri="{FF2B5EF4-FFF2-40B4-BE49-F238E27FC236}">
              <a16:creationId xmlns:a16="http://schemas.microsoft.com/office/drawing/2014/main" id="{00000000-0008-0000-0E00-0000B0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176</xdr:row>
      <xdr:rowOff>0</xdr:rowOff>
    </xdr:from>
    <xdr:ext cx="381000" cy="381000"/>
    <xdr:pic>
      <xdr:nvPicPr>
        <xdr:cNvPr id="177" name="image219.jpg">
          <a:extLst>
            <a:ext uri="{FF2B5EF4-FFF2-40B4-BE49-F238E27FC236}">
              <a16:creationId xmlns:a16="http://schemas.microsoft.com/office/drawing/2014/main" id="{00000000-0008-0000-0E00-0000B1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177</xdr:row>
      <xdr:rowOff>0</xdr:rowOff>
    </xdr:from>
    <xdr:ext cx="381000" cy="381000"/>
    <xdr:pic>
      <xdr:nvPicPr>
        <xdr:cNvPr id="178" name="image219.jpg">
          <a:extLst>
            <a:ext uri="{FF2B5EF4-FFF2-40B4-BE49-F238E27FC236}">
              <a16:creationId xmlns:a16="http://schemas.microsoft.com/office/drawing/2014/main" id="{00000000-0008-0000-0E00-0000B2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178</xdr:row>
      <xdr:rowOff>0</xdr:rowOff>
    </xdr:from>
    <xdr:ext cx="381000" cy="381000"/>
    <xdr:pic>
      <xdr:nvPicPr>
        <xdr:cNvPr id="179" name="image219.jpg">
          <a:extLst>
            <a:ext uri="{FF2B5EF4-FFF2-40B4-BE49-F238E27FC236}">
              <a16:creationId xmlns:a16="http://schemas.microsoft.com/office/drawing/2014/main" id="{00000000-0008-0000-0E00-0000B3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179</xdr:row>
      <xdr:rowOff>0</xdr:rowOff>
    </xdr:from>
    <xdr:ext cx="381000" cy="381000"/>
    <xdr:pic>
      <xdr:nvPicPr>
        <xdr:cNvPr id="180" name="image219.jpg">
          <a:extLst>
            <a:ext uri="{FF2B5EF4-FFF2-40B4-BE49-F238E27FC236}">
              <a16:creationId xmlns:a16="http://schemas.microsoft.com/office/drawing/2014/main" id="{00000000-0008-0000-0E00-0000B4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180</xdr:row>
      <xdr:rowOff>0</xdr:rowOff>
    </xdr:from>
    <xdr:ext cx="381000" cy="381000"/>
    <xdr:pic>
      <xdr:nvPicPr>
        <xdr:cNvPr id="181" name="image219.jpg">
          <a:extLst>
            <a:ext uri="{FF2B5EF4-FFF2-40B4-BE49-F238E27FC236}">
              <a16:creationId xmlns:a16="http://schemas.microsoft.com/office/drawing/2014/main" id="{00000000-0008-0000-0E00-0000B5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181</xdr:row>
      <xdr:rowOff>0</xdr:rowOff>
    </xdr:from>
    <xdr:ext cx="381000" cy="381000"/>
    <xdr:pic>
      <xdr:nvPicPr>
        <xdr:cNvPr id="182" name="image219.jpg">
          <a:extLst>
            <a:ext uri="{FF2B5EF4-FFF2-40B4-BE49-F238E27FC236}">
              <a16:creationId xmlns:a16="http://schemas.microsoft.com/office/drawing/2014/main" id="{00000000-0008-0000-0E00-0000B6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182</xdr:row>
      <xdr:rowOff>0</xdr:rowOff>
    </xdr:from>
    <xdr:ext cx="381000" cy="381000"/>
    <xdr:pic>
      <xdr:nvPicPr>
        <xdr:cNvPr id="183" name="image219.jpg">
          <a:extLst>
            <a:ext uri="{FF2B5EF4-FFF2-40B4-BE49-F238E27FC236}">
              <a16:creationId xmlns:a16="http://schemas.microsoft.com/office/drawing/2014/main" id="{00000000-0008-0000-0E00-0000B7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183</xdr:row>
      <xdr:rowOff>0</xdr:rowOff>
    </xdr:from>
    <xdr:ext cx="381000" cy="381000"/>
    <xdr:pic>
      <xdr:nvPicPr>
        <xdr:cNvPr id="184" name="image219.jpg">
          <a:extLst>
            <a:ext uri="{FF2B5EF4-FFF2-40B4-BE49-F238E27FC236}">
              <a16:creationId xmlns:a16="http://schemas.microsoft.com/office/drawing/2014/main" id="{00000000-0008-0000-0E00-0000B8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184</xdr:row>
      <xdr:rowOff>0</xdr:rowOff>
    </xdr:from>
    <xdr:ext cx="381000" cy="381000"/>
    <xdr:pic>
      <xdr:nvPicPr>
        <xdr:cNvPr id="185" name="image219.jpg">
          <a:extLst>
            <a:ext uri="{FF2B5EF4-FFF2-40B4-BE49-F238E27FC236}">
              <a16:creationId xmlns:a16="http://schemas.microsoft.com/office/drawing/2014/main" id="{00000000-0008-0000-0E00-0000B9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185</xdr:row>
      <xdr:rowOff>0</xdr:rowOff>
    </xdr:from>
    <xdr:ext cx="381000" cy="381000"/>
    <xdr:pic>
      <xdr:nvPicPr>
        <xdr:cNvPr id="186" name="image219.jpg">
          <a:extLst>
            <a:ext uri="{FF2B5EF4-FFF2-40B4-BE49-F238E27FC236}">
              <a16:creationId xmlns:a16="http://schemas.microsoft.com/office/drawing/2014/main" id="{00000000-0008-0000-0E00-0000BA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186</xdr:row>
      <xdr:rowOff>0</xdr:rowOff>
    </xdr:from>
    <xdr:ext cx="381000" cy="381000"/>
    <xdr:pic>
      <xdr:nvPicPr>
        <xdr:cNvPr id="187" name="image219.jpg">
          <a:extLst>
            <a:ext uri="{FF2B5EF4-FFF2-40B4-BE49-F238E27FC236}">
              <a16:creationId xmlns:a16="http://schemas.microsoft.com/office/drawing/2014/main" id="{00000000-0008-0000-0E00-0000B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187</xdr:row>
      <xdr:rowOff>0</xdr:rowOff>
    </xdr:from>
    <xdr:ext cx="381000" cy="381000"/>
    <xdr:pic>
      <xdr:nvPicPr>
        <xdr:cNvPr id="188" name="image219.jpg">
          <a:extLst>
            <a:ext uri="{FF2B5EF4-FFF2-40B4-BE49-F238E27FC236}">
              <a16:creationId xmlns:a16="http://schemas.microsoft.com/office/drawing/2014/main" id="{00000000-0008-0000-0E00-0000BC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188</xdr:row>
      <xdr:rowOff>0</xdr:rowOff>
    </xdr:from>
    <xdr:ext cx="381000" cy="381000"/>
    <xdr:pic>
      <xdr:nvPicPr>
        <xdr:cNvPr id="189" name="image219.jpg">
          <a:extLst>
            <a:ext uri="{FF2B5EF4-FFF2-40B4-BE49-F238E27FC236}">
              <a16:creationId xmlns:a16="http://schemas.microsoft.com/office/drawing/2014/main" id="{00000000-0008-0000-0E00-0000B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189</xdr:row>
      <xdr:rowOff>0</xdr:rowOff>
    </xdr:from>
    <xdr:ext cx="381000" cy="381000"/>
    <xdr:pic>
      <xdr:nvPicPr>
        <xdr:cNvPr id="190" name="image219.jpg">
          <a:extLst>
            <a:ext uri="{FF2B5EF4-FFF2-40B4-BE49-F238E27FC236}">
              <a16:creationId xmlns:a16="http://schemas.microsoft.com/office/drawing/2014/main" id="{00000000-0008-0000-0E00-0000B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190</xdr:row>
      <xdr:rowOff>0</xdr:rowOff>
    </xdr:from>
    <xdr:ext cx="381000" cy="381000"/>
    <xdr:pic>
      <xdr:nvPicPr>
        <xdr:cNvPr id="191" name="image219.jpg">
          <a:extLst>
            <a:ext uri="{FF2B5EF4-FFF2-40B4-BE49-F238E27FC236}">
              <a16:creationId xmlns:a16="http://schemas.microsoft.com/office/drawing/2014/main" id="{00000000-0008-0000-0E00-0000BF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191</xdr:row>
      <xdr:rowOff>0</xdr:rowOff>
    </xdr:from>
    <xdr:ext cx="381000" cy="381000"/>
    <xdr:pic>
      <xdr:nvPicPr>
        <xdr:cNvPr id="192" name="image219.jpg">
          <a:extLst>
            <a:ext uri="{FF2B5EF4-FFF2-40B4-BE49-F238E27FC236}">
              <a16:creationId xmlns:a16="http://schemas.microsoft.com/office/drawing/2014/main" id="{00000000-0008-0000-0E00-0000C0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192</xdr:row>
      <xdr:rowOff>0</xdr:rowOff>
    </xdr:from>
    <xdr:ext cx="381000" cy="381000"/>
    <xdr:pic>
      <xdr:nvPicPr>
        <xdr:cNvPr id="193" name="image219.jpg">
          <a:extLst>
            <a:ext uri="{FF2B5EF4-FFF2-40B4-BE49-F238E27FC236}">
              <a16:creationId xmlns:a16="http://schemas.microsoft.com/office/drawing/2014/main" id="{00000000-0008-0000-0E00-0000C1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193</xdr:row>
      <xdr:rowOff>0</xdr:rowOff>
    </xdr:from>
    <xdr:ext cx="381000" cy="381000"/>
    <xdr:pic>
      <xdr:nvPicPr>
        <xdr:cNvPr id="194" name="image219.jpg">
          <a:extLst>
            <a:ext uri="{FF2B5EF4-FFF2-40B4-BE49-F238E27FC236}">
              <a16:creationId xmlns:a16="http://schemas.microsoft.com/office/drawing/2014/main" id="{00000000-0008-0000-0E00-0000C2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194</xdr:row>
      <xdr:rowOff>0</xdr:rowOff>
    </xdr:from>
    <xdr:ext cx="381000" cy="381000"/>
    <xdr:pic>
      <xdr:nvPicPr>
        <xdr:cNvPr id="195" name="image8.jpg">
          <a:extLst>
            <a:ext uri="{FF2B5EF4-FFF2-40B4-BE49-F238E27FC236}">
              <a16:creationId xmlns:a16="http://schemas.microsoft.com/office/drawing/2014/main" id="{00000000-0008-0000-0E00-0000C3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195</xdr:row>
      <xdr:rowOff>0</xdr:rowOff>
    </xdr:from>
    <xdr:ext cx="381000" cy="381000"/>
    <xdr:pic>
      <xdr:nvPicPr>
        <xdr:cNvPr id="196" name="image8.jpg">
          <a:extLst>
            <a:ext uri="{FF2B5EF4-FFF2-40B4-BE49-F238E27FC236}">
              <a16:creationId xmlns:a16="http://schemas.microsoft.com/office/drawing/2014/main" id="{00000000-0008-0000-0E00-0000C4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196</xdr:row>
      <xdr:rowOff>0</xdr:rowOff>
    </xdr:from>
    <xdr:ext cx="381000" cy="381000"/>
    <xdr:pic>
      <xdr:nvPicPr>
        <xdr:cNvPr id="197" name="image8.jpg">
          <a:extLst>
            <a:ext uri="{FF2B5EF4-FFF2-40B4-BE49-F238E27FC236}">
              <a16:creationId xmlns:a16="http://schemas.microsoft.com/office/drawing/2014/main" id="{00000000-0008-0000-0E00-0000C5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197</xdr:row>
      <xdr:rowOff>0</xdr:rowOff>
    </xdr:from>
    <xdr:ext cx="381000" cy="381000"/>
    <xdr:pic>
      <xdr:nvPicPr>
        <xdr:cNvPr id="198" name="image8.jpg">
          <a:extLst>
            <a:ext uri="{FF2B5EF4-FFF2-40B4-BE49-F238E27FC236}">
              <a16:creationId xmlns:a16="http://schemas.microsoft.com/office/drawing/2014/main" id="{00000000-0008-0000-0E00-0000C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198</xdr:row>
      <xdr:rowOff>0</xdr:rowOff>
    </xdr:from>
    <xdr:ext cx="381000" cy="381000"/>
    <xdr:pic>
      <xdr:nvPicPr>
        <xdr:cNvPr id="199" name="image8.jpg">
          <a:extLst>
            <a:ext uri="{FF2B5EF4-FFF2-40B4-BE49-F238E27FC236}">
              <a16:creationId xmlns:a16="http://schemas.microsoft.com/office/drawing/2014/main" id="{00000000-0008-0000-0E00-0000C7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199</xdr:row>
      <xdr:rowOff>0</xdr:rowOff>
    </xdr:from>
    <xdr:ext cx="381000" cy="381000"/>
    <xdr:pic>
      <xdr:nvPicPr>
        <xdr:cNvPr id="200" name="image8.jpg">
          <a:extLst>
            <a:ext uri="{FF2B5EF4-FFF2-40B4-BE49-F238E27FC236}">
              <a16:creationId xmlns:a16="http://schemas.microsoft.com/office/drawing/2014/main" id="{00000000-0008-0000-0E00-0000C8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200</xdr:row>
      <xdr:rowOff>0</xdr:rowOff>
    </xdr:from>
    <xdr:ext cx="381000" cy="381000"/>
    <xdr:pic>
      <xdr:nvPicPr>
        <xdr:cNvPr id="201" name="image8.jpg">
          <a:extLst>
            <a:ext uri="{FF2B5EF4-FFF2-40B4-BE49-F238E27FC236}">
              <a16:creationId xmlns:a16="http://schemas.microsoft.com/office/drawing/2014/main" id="{00000000-0008-0000-0E00-0000C9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201</xdr:row>
      <xdr:rowOff>0</xdr:rowOff>
    </xdr:from>
    <xdr:ext cx="381000" cy="381000"/>
    <xdr:pic>
      <xdr:nvPicPr>
        <xdr:cNvPr id="202" name="image8.jpg">
          <a:extLst>
            <a:ext uri="{FF2B5EF4-FFF2-40B4-BE49-F238E27FC236}">
              <a16:creationId xmlns:a16="http://schemas.microsoft.com/office/drawing/2014/main" id="{00000000-0008-0000-0E00-0000C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202</xdr:row>
      <xdr:rowOff>0</xdr:rowOff>
    </xdr:from>
    <xdr:ext cx="381000" cy="381000"/>
    <xdr:pic>
      <xdr:nvPicPr>
        <xdr:cNvPr id="203" name="image8.jpg">
          <a:extLst>
            <a:ext uri="{FF2B5EF4-FFF2-40B4-BE49-F238E27FC236}">
              <a16:creationId xmlns:a16="http://schemas.microsoft.com/office/drawing/2014/main" id="{00000000-0008-0000-0E00-0000CB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203</xdr:row>
      <xdr:rowOff>0</xdr:rowOff>
    </xdr:from>
    <xdr:ext cx="381000" cy="381000"/>
    <xdr:pic>
      <xdr:nvPicPr>
        <xdr:cNvPr id="204" name="image8.jpg">
          <a:extLst>
            <a:ext uri="{FF2B5EF4-FFF2-40B4-BE49-F238E27FC236}">
              <a16:creationId xmlns:a16="http://schemas.microsoft.com/office/drawing/2014/main" id="{00000000-0008-0000-0E00-0000C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204</xdr:row>
      <xdr:rowOff>0</xdr:rowOff>
    </xdr:from>
    <xdr:ext cx="381000" cy="381000"/>
    <xdr:pic>
      <xdr:nvPicPr>
        <xdr:cNvPr id="205" name="image8.jpg">
          <a:extLst>
            <a:ext uri="{FF2B5EF4-FFF2-40B4-BE49-F238E27FC236}">
              <a16:creationId xmlns:a16="http://schemas.microsoft.com/office/drawing/2014/main" id="{00000000-0008-0000-0E00-0000CD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205</xdr:row>
      <xdr:rowOff>0</xdr:rowOff>
    </xdr:from>
    <xdr:ext cx="381000" cy="381000"/>
    <xdr:pic>
      <xdr:nvPicPr>
        <xdr:cNvPr id="206" name="image8.jpg">
          <a:extLst>
            <a:ext uri="{FF2B5EF4-FFF2-40B4-BE49-F238E27FC236}">
              <a16:creationId xmlns:a16="http://schemas.microsoft.com/office/drawing/2014/main" id="{00000000-0008-0000-0E00-0000C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206</xdr:row>
      <xdr:rowOff>0</xdr:rowOff>
    </xdr:from>
    <xdr:ext cx="381000" cy="381000"/>
    <xdr:pic>
      <xdr:nvPicPr>
        <xdr:cNvPr id="207" name="image8.jpg">
          <a:extLst>
            <a:ext uri="{FF2B5EF4-FFF2-40B4-BE49-F238E27FC236}">
              <a16:creationId xmlns:a16="http://schemas.microsoft.com/office/drawing/2014/main" id="{00000000-0008-0000-0E00-0000CF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207</xdr:row>
      <xdr:rowOff>0</xdr:rowOff>
    </xdr:from>
    <xdr:ext cx="381000" cy="381000"/>
    <xdr:pic>
      <xdr:nvPicPr>
        <xdr:cNvPr id="208" name="image8.jpg">
          <a:extLst>
            <a:ext uri="{FF2B5EF4-FFF2-40B4-BE49-F238E27FC236}">
              <a16:creationId xmlns:a16="http://schemas.microsoft.com/office/drawing/2014/main" id="{00000000-0008-0000-0E00-0000D0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208</xdr:row>
      <xdr:rowOff>0</xdr:rowOff>
    </xdr:from>
    <xdr:ext cx="381000" cy="381000"/>
    <xdr:pic>
      <xdr:nvPicPr>
        <xdr:cNvPr id="209" name="image8.jpg">
          <a:extLst>
            <a:ext uri="{FF2B5EF4-FFF2-40B4-BE49-F238E27FC236}">
              <a16:creationId xmlns:a16="http://schemas.microsoft.com/office/drawing/2014/main" id="{00000000-0008-0000-0E00-0000D1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209</xdr:row>
      <xdr:rowOff>0</xdr:rowOff>
    </xdr:from>
    <xdr:ext cx="381000" cy="381000"/>
    <xdr:pic>
      <xdr:nvPicPr>
        <xdr:cNvPr id="210" name="image8.jpg">
          <a:extLst>
            <a:ext uri="{FF2B5EF4-FFF2-40B4-BE49-F238E27FC236}">
              <a16:creationId xmlns:a16="http://schemas.microsoft.com/office/drawing/2014/main" id="{00000000-0008-0000-0E00-0000D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210</xdr:row>
      <xdr:rowOff>0</xdr:rowOff>
    </xdr:from>
    <xdr:ext cx="381000" cy="381000"/>
    <xdr:pic>
      <xdr:nvPicPr>
        <xdr:cNvPr id="211" name="image8.jpg">
          <a:extLst>
            <a:ext uri="{FF2B5EF4-FFF2-40B4-BE49-F238E27FC236}">
              <a16:creationId xmlns:a16="http://schemas.microsoft.com/office/drawing/2014/main" id="{00000000-0008-0000-0E00-0000D3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211</xdr:row>
      <xdr:rowOff>0</xdr:rowOff>
    </xdr:from>
    <xdr:ext cx="381000" cy="381000"/>
    <xdr:pic>
      <xdr:nvPicPr>
        <xdr:cNvPr id="212" name="image8.jpg">
          <a:extLst>
            <a:ext uri="{FF2B5EF4-FFF2-40B4-BE49-F238E27FC236}">
              <a16:creationId xmlns:a16="http://schemas.microsoft.com/office/drawing/2014/main" id="{00000000-0008-0000-0E00-0000D4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212</xdr:row>
      <xdr:rowOff>0</xdr:rowOff>
    </xdr:from>
    <xdr:ext cx="381000" cy="381000"/>
    <xdr:pic>
      <xdr:nvPicPr>
        <xdr:cNvPr id="213" name="image8.jpg">
          <a:extLst>
            <a:ext uri="{FF2B5EF4-FFF2-40B4-BE49-F238E27FC236}">
              <a16:creationId xmlns:a16="http://schemas.microsoft.com/office/drawing/2014/main" id="{00000000-0008-0000-0E00-0000D5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213</xdr:row>
      <xdr:rowOff>0</xdr:rowOff>
    </xdr:from>
    <xdr:ext cx="381000" cy="381000"/>
    <xdr:pic>
      <xdr:nvPicPr>
        <xdr:cNvPr id="214" name="image8.jpg">
          <a:extLst>
            <a:ext uri="{FF2B5EF4-FFF2-40B4-BE49-F238E27FC236}">
              <a16:creationId xmlns:a16="http://schemas.microsoft.com/office/drawing/2014/main" id="{00000000-0008-0000-0E00-0000D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214</xdr:row>
      <xdr:rowOff>0</xdr:rowOff>
    </xdr:from>
    <xdr:ext cx="381000" cy="381000"/>
    <xdr:pic>
      <xdr:nvPicPr>
        <xdr:cNvPr id="215" name="image8.jpg">
          <a:extLst>
            <a:ext uri="{FF2B5EF4-FFF2-40B4-BE49-F238E27FC236}">
              <a16:creationId xmlns:a16="http://schemas.microsoft.com/office/drawing/2014/main" id="{00000000-0008-0000-0E00-0000D7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215</xdr:row>
      <xdr:rowOff>0</xdr:rowOff>
    </xdr:from>
    <xdr:ext cx="381000" cy="381000"/>
    <xdr:pic>
      <xdr:nvPicPr>
        <xdr:cNvPr id="216" name="image8.jpg">
          <a:extLst>
            <a:ext uri="{FF2B5EF4-FFF2-40B4-BE49-F238E27FC236}">
              <a16:creationId xmlns:a16="http://schemas.microsoft.com/office/drawing/2014/main" id="{00000000-0008-0000-0E00-0000D8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216</xdr:row>
      <xdr:rowOff>0</xdr:rowOff>
    </xdr:from>
    <xdr:ext cx="381000" cy="381000"/>
    <xdr:pic>
      <xdr:nvPicPr>
        <xdr:cNvPr id="217" name="image8.jpg">
          <a:extLst>
            <a:ext uri="{FF2B5EF4-FFF2-40B4-BE49-F238E27FC236}">
              <a16:creationId xmlns:a16="http://schemas.microsoft.com/office/drawing/2014/main" id="{00000000-0008-0000-0E00-0000D9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217</xdr:row>
      <xdr:rowOff>0</xdr:rowOff>
    </xdr:from>
    <xdr:ext cx="381000" cy="381000"/>
    <xdr:pic>
      <xdr:nvPicPr>
        <xdr:cNvPr id="218" name="image8.jpg">
          <a:extLst>
            <a:ext uri="{FF2B5EF4-FFF2-40B4-BE49-F238E27FC236}">
              <a16:creationId xmlns:a16="http://schemas.microsoft.com/office/drawing/2014/main" id="{00000000-0008-0000-0E00-0000D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218</xdr:row>
      <xdr:rowOff>0</xdr:rowOff>
    </xdr:from>
    <xdr:ext cx="381000" cy="381000"/>
    <xdr:pic>
      <xdr:nvPicPr>
        <xdr:cNvPr id="219" name="image8.jpg">
          <a:extLst>
            <a:ext uri="{FF2B5EF4-FFF2-40B4-BE49-F238E27FC236}">
              <a16:creationId xmlns:a16="http://schemas.microsoft.com/office/drawing/2014/main" id="{00000000-0008-0000-0E00-0000DB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219</xdr:row>
      <xdr:rowOff>0</xdr:rowOff>
    </xdr:from>
    <xdr:ext cx="381000" cy="381000"/>
    <xdr:pic>
      <xdr:nvPicPr>
        <xdr:cNvPr id="220" name="image76.jpg">
          <a:extLst>
            <a:ext uri="{FF2B5EF4-FFF2-40B4-BE49-F238E27FC236}">
              <a16:creationId xmlns:a16="http://schemas.microsoft.com/office/drawing/2014/main" id="{00000000-0008-0000-0E00-0000DC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220</xdr:row>
      <xdr:rowOff>0</xdr:rowOff>
    </xdr:from>
    <xdr:ext cx="381000" cy="381000"/>
    <xdr:pic>
      <xdr:nvPicPr>
        <xdr:cNvPr id="221" name="image76.jpg">
          <a:extLst>
            <a:ext uri="{FF2B5EF4-FFF2-40B4-BE49-F238E27FC236}">
              <a16:creationId xmlns:a16="http://schemas.microsoft.com/office/drawing/2014/main" id="{00000000-0008-0000-0E00-0000D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221</xdr:row>
      <xdr:rowOff>0</xdr:rowOff>
    </xdr:from>
    <xdr:ext cx="381000" cy="381000"/>
    <xdr:pic>
      <xdr:nvPicPr>
        <xdr:cNvPr id="222" name="image76.jpg">
          <a:extLst>
            <a:ext uri="{FF2B5EF4-FFF2-40B4-BE49-F238E27FC236}">
              <a16:creationId xmlns:a16="http://schemas.microsoft.com/office/drawing/2014/main" id="{00000000-0008-0000-0E00-0000DE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222</xdr:row>
      <xdr:rowOff>0</xdr:rowOff>
    </xdr:from>
    <xdr:ext cx="381000" cy="381000"/>
    <xdr:pic>
      <xdr:nvPicPr>
        <xdr:cNvPr id="223" name="image76.jpg">
          <a:extLst>
            <a:ext uri="{FF2B5EF4-FFF2-40B4-BE49-F238E27FC236}">
              <a16:creationId xmlns:a16="http://schemas.microsoft.com/office/drawing/2014/main" id="{00000000-0008-0000-0E00-0000DF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223</xdr:row>
      <xdr:rowOff>0</xdr:rowOff>
    </xdr:from>
    <xdr:ext cx="381000" cy="381000"/>
    <xdr:pic>
      <xdr:nvPicPr>
        <xdr:cNvPr id="224" name="image76.jpg">
          <a:extLst>
            <a:ext uri="{FF2B5EF4-FFF2-40B4-BE49-F238E27FC236}">
              <a16:creationId xmlns:a16="http://schemas.microsoft.com/office/drawing/2014/main" id="{00000000-0008-0000-0E00-0000E0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224</xdr:row>
      <xdr:rowOff>0</xdr:rowOff>
    </xdr:from>
    <xdr:ext cx="381000" cy="381000"/>
    <xdr:pic>
      <xdr:nvPicPr>
        <xdr:cNvPr id="225" name="image76.jpg">
          <a:extLst>
            <a:ext uri="{FF2B5EF4-FFF2-40B4-BE49-F238E27FC236}">
              <a16:creationId xmlns:a16="http://schemas.microsoft.com/office/drawing/2014/main" id="{00000000-0008-0000-0E00-0000E1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225</xdr:row>
      <xdr:rowOff>0</xdr:rowOff>
    </xdr:from>
    <xdr:ext cx="381000" cy="381000"/>
    <xdr:pic>
      <xdr:nvPicPr>
        <xdr:cNvPr id="226" name="image76.jpg">
          <a:extLst>
            <a:ext uri="{FF2B5EF4-FFF2-40B4-BE49-F238E27FC236}">
              <a16:creationId xmlns:a16="http://schemas.microsoft.com/office/drawing/2014/main" id="{00000000-0008-0000-0E00-0000E2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226</xdr:row>
      <xdr:rowOff>0</xdr:rowOff>
    </xdr:from>
    <xdr:ext cx="381000" cy="381000"/>
    <xdr:pic>
      <xdr:nvPicPr>
        <xdr:cNvPr id="227" name="image76.jpg">
          <a:extLst>
            <a:ext uri="{FF2B5EF4-FFF2-40B4-BE49-F238E27FC236}">
              <a16:creationId xmlns:a16="http://schemas.microsoft.com/office/drawing/2014/main" id="{00000000-0008-0000-0E00-0000E3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227</xdr:row>
      <xdr:rowOff>0</xdr:rowOff>
    </xdr:from>
    <xdr:ext cx="381000" cy="381000"/>
    <xdr:pic>
      <xdr:nvPicPr>
        <xdr:cNvPr id="228" name="image76.jpg">
          <a:extLst>
            <a:ext uri="{FF2B5EF4-FFF2-40B4-BE49-F238E27FC236}">
              <a16:creationId xmlns:a16="http://schemas.microsoft.com/office/drawing/2014/main" id="{00000000-0008-0000-0E00-0000E4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228</xdr:row>
      <xdr:rowOff>0</xdr:rowOff>
    </xdr:from>
    <xdr:ext cx="381000" cy="381000"/>
    <xdr:pic>
      <xdr:nvPicPr>
        <xdr:cNvPr id="229" name="image76.jpg">
          <a:extLst>
            <a:ext uri="{FF2B5EF4-FFF2-40B4-BE49-F238E27FC236}">
              <a16:creationId xmlns:a16="http://schemas.microsoft.com/office/drawing/2014/main" id="{00000000-0008-0000-0E00-0000E5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229</xdr:row>
      <xdr:rowOff>0</xdr:rowOff>
    </xdr:from>
    <xdr:ext cx="381000" cy="381000"/>
    <xdr:pic>
      <xdr:nvPicPr>
        <xdr:cNvPr id="230" name="image76.jpg">
          <a:extLst>
            <a:ext uri="{FF2B5EF4-FFF2-40B4-BE49-F238E27FC236}">
              <a16:creationId xmlns:a16="http://schemas.microsoft.com/office/drawing/2014/main" id="{00000000-0008-0000-0E00-0000E6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230</xdr:row>
      <xdr:rowOff>0</xdr:rowOff>
    </xdr:from>
    <xdr:ext cx="381000" cy="381000"/>
    <xdr:pic>
      <xdr:nvPicPr>
        <xdr:cNvPr id="231" name="image120.jpg">
          <a:extLst>
            <a:ext uri="{FF2B5EF4-FFF2-40B4-BE49-F238E27FC236}">
              <a16:creationId xmlns:a16="http://schemas.microsoft.com/office/drawing/2014/main" id="{00000000-0008-0000-0E00-0000E7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231</xdr:row>
      <xdr:rowOff>0</xdr:rowOff>
    </xdr:from>
    <xdr:ext cx="381000" cy="381000"/>
    <xdr:pic>
      <xdr:nvPicPr>
        <xdr:cNvPr id="232" name="image120.jpg">
          <a:extLst>
            <a:ext uri="{FF2B5EF4-FFF2-40B4-BE49-F238E27FC236}">
              <a16:creationId xmlns:a16="http://schemas.microsoft.com/office/drawing/2014/main" id="{00000000-0008-0000-0E00-0000E8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232</xdr:row>
      <xdr:rowOff>0</xdr:rowOff>
    </xdr:from>
    <xdr:ext cx="381000" cy="381000"/>
    <xdr:pic>
      <xdr:nvPicPr>
        <xdr:cNvPr id="233" name="image120.jpg">
          <a:extLst>
            <a:ext uri="{FF2B5EF4-FFF2-40B4-BE49-F238E27FC236}">
              <a16:creationId xmlns:a16="http://schemas.microsoft.com/office/drawing/2014/main" id="{00000000-0008-0000-0E00-0000E9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233</xdr:row>
      <xdr:rowOff>0</xdr:rowOff>
    </xdr:from>
    <xdr:ext cx="381000" cy="381000"/>
    <xdr:pic>
      <xdr:nvPicPr>
        <xdr:cNvPr id="234" name="image120.jpg">
          <a:extLst>
            <a:ext uri="{FF2B5EF4-FFF2-40B4-BE49-F238E27FC236}">
              <a16:creationId xmlns:a16="http://schemas.microsoft.com/office/drawing/2014/main" id="{00000000-0008-0000-0E00-0000EA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234</xdr:row>
      <xdr:rowOff>0</xdr:rowOff>
    </xdr:from>
    <xdr:ext cx="381000" cy="381000"/>
    <xdr:pic>
      <xdr:nvPicPr>
        <xdr:cNvPr id="235" name="image120.jpg">
          <a:extLst>
            <a:ext uri="{FF2B5EF4-FFF2-40B4-BE49-F238E27FC236}">
              <a16:creationId xmlns:a16="http://schemas.microsoft.com/office/drawing/2014/main" id="{00000000-0008-0000-0E00-0000EB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235</xdr:row>
      <xdr:rowOff>0</xdr:rowOff>
    </xdr:from>
    <xdr:ext cx="381000" cy="381000"/>
    <xdr:pic>
      <xdr:nvPicPr>
        <xdr:cNvPr id="236" name="image120.jpg">
          <a:extLst>
            <a:ext uri="{FF2B5EF4-FFF2-40B4-BE49-F238E27FC236}">
              <a16:creationId xmlns:a16="http://schemas.microsoft.com/office/drawing/2014/main" id="{00000000-0008-0000-0E00-0000EC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236</xdr:row>
      <xdr:rowOff>0</xdr:rowOff>
    </xdr:from>
    <xdr:ext cx="381000" cy="381000"/>
    <xdr:pic>
      <xdr:nvPicPr>
        <xdr:cNvPr id="237" name="image120.jpg">
          <a:extLst>
            <a:ext uri="{FF2B5EF4-FFF2-40B4-BE49-F238E27FC236}">
              <a16:creationId xmlns:a16="http://schemas.microsoft.com/office/drawing/2014/main" id="{00000000-0008-0000-0E00-0000ED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237</xdr:row>
      <xdr:rowOff>0</xdr:rowOff>
    </xdr:from>
    <xdr:ext cx="381000" cy="381000"/>
    <xdr:pic>
      <xdr:nvPicPr>
        <xdr:cNvPr id="238" name="image120.jpg">
          <a:extLst>
            <a:ext uri="{FF2B5EF4-FFF2-40B4-BE49-F238E27FC236}">
              <a16:creationId xmlns:a16="http://schemas.microsoft.com/office/drawing/2014/main" id="{00000000-0008-0000-0E00-0000E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238</xdr:row>
      <xdr:rowOff>0</xdr:rowOff>
    </xdr:from>
    <xdr:ext cx="381000" cy="381000"/>
    <xdr:pic>
      <xdr:nvPicPr>
        <xdr:cNvPr id="239" name="image120.jpg">
          <a:extLst>
            <a:ext uri="{FF2B5EF4-FFF2-40B4-BE49-F238E27FC236}">
              <a16:creationId xmlns:a16="http://schemas.microsoft.com/office/drawing/2014/main" id="{00000000-0008-0000-0E00-0000EF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239</xdr:row>
      <xdr:rowOff>0</xdr:rowOff>
    </xdr:from>
    <xdr:ext cx="381000" cy="381000"/>
    <xdr:pic>
      <xdr:nvPicPr>
        <xdr:cNvPr id="240" name="image120.jpg">
          <a:extLst>
            <a:ext uri="{FF2B5EF4-FFF2-40B4-BE49-F238E27FC236}">
              <a16:creationId xmlns:a16="http://schemas.microsoft.com/office/drawing/2014/main" id="{00000000-0008-0000-0E00-0000F0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240</xdr:row>
      <xdr:rowOff>0</xdr:rowOff>
    </xdr:from>
    <xdr:ext cx="381000" cy="381000"/>
    <xdr:pic>
      <xdr:nvPicPr>
        <xdr:cNvPr id="241" name="image120.jpg">
          <a:extLst>
            <a:ext uri="{FF2B5EF4-FFF2-40B4-BE49-F238E27FC236}">
              <a16:creationId xmlns:a16="http://schemas.microsoft.com/office/drawing/2014/main" id="{00000000-0008-0000-0E00-0000F1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241</xdr:row>
      <xdr:rowOff>0</xdr:rowOff>
    </xdr:from>
    <xdr:ext cx="381000" cy="381000"/>
    <xdr:pic>
      <xdr:nvPicPr>
        <xdr:cNvPr id="242" name="image120.jpg">
          <a:extLst>
            <a:ext uri="{FF2B5EF4-FFF2-40B4-BE49-F238E27FC236}">
              <a16:creationId xmlns:a16="http://schemas.microsoft.com/office/drawing/2014/main" id="{00000000-0008-0000-0E00-0000F2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242</xdr:row>
      <xdr:rowOff>0</xdr:rowOff>
    </xdr:from>
    <xdr:ext cx="381000" cy="381000"/>
    <xdr:pic>
      <xdr:nvPicPr>
        <xdr:cNvPr id="243" name="image120.jpg">
          <a:extLst>
            <a:ext uri="{FF2B5EF4-FFF2-40B4-BE49-F238E27FC236}">
              <a16:creationId xmlns:a16="http://schemas.microsoft.com/office/drawing/2014/main" id="{00000000-0008-0000-0E00-0000F3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243</xdr:row>
      <xdr:rowOff>0</xdr:rowOff>
    </xdr:from>
    <xdr:ext cx="381000" cy="381000"/>
    <xdr:pic>
      <xdr:nvPicPr>
        <xdr:cNvPr id="244" name="image120.jpg">
          <a:extLst>
            <a:ext uri="{FF2B5EF4-FFF2-40B4-BE49-F238E27FC236}">
              <a16:creationId xmlns:a16="http://schemas.microsoft.com/office/drawing/2014/main" id="{00000000-0008-0000-0E00-0000F4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244</xdr:row>
      <xdr:rowOff>0</xdr:rowOff>
    </xdr:from>
    <xdr:ext cx="381000" cy="381000"/>
    <xdr:pic>
      <xdr:nvPicPr>
        <xdr:cNvPr id="245" name="image120.jpg">
          <a:extLst>
            <a:ext uri="{FF2B5EF4-FFF2-40B4-BE49-F238E27FC236}">
              <a16:creationId xmlns:a16="http://schemas.microsoft.com/office/drawing/2014/main" id="{00000000-0008-0000-0E00-0000F5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245</xdr:row>
      <xdr:rowOff>0</xdr:rowOff>
    </xdr:from>
    <xdr:ext cx="381000" cy="381000"/>
    <xdr:pic>
      <xdr:nvPicPr>
        <xdr:cNvPr id="246" name="image120.jpg">
          <a:extLst>
            <a:ext uri="{FF2B5EF4-FFF2-40B4-BE49-F238E27FC236}">
              <a16:creationId xmlns:a16="http://schemas.microsoft.com/office/drawing/2014/main" id="{00000000-0008-0000-0E00-0000F6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246</xdr:row>
      <xdr:rowOff>0</xdr:rowOff>
    </xdr:from>
    <xdr:ext cx="381000" cy="381000"/>
    <xdr:pic>
      <xdr:nvPicPr>
        <xdr:cNvPr id="247" name="image120.jpg">
          <a:extLst>
            <a:ext uri="{FF2B5EF4-FFF2-40B4-BE49-F238E27FC236}">
              <a16:creationId xmlns:a16="http://schemas.microsoft.com/office/drawing/2014/main" id="{00000000-0008-0000-0E00-0000F7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247</xdr:row>
      <xdr:rowOff>0</xdr:rowOff>
    </xdr:from>
    <xdr:ext cx="381000" cy="381000"/>
    <xdr:pic>
      <xdr:nvPicPr>
        <xdr:cNvPr id="248" name="image120.jpg">
          <a:extLst>
            <a:ext uri="{FF2B5EF4-FFF2-40B4-BE49-F238E27FC236}">
              <a16:creationId xmlns:a16="http://schemas.microsoft.com/office/drawing/2014/main" id="{00000000-0008-0000-0E00-0000F8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248</xdr:row>
      <xdr:rowOff>0</xdr:rowOff>
    </xdr:from>
    <xdr:ext cx="381000" cy="381000"/>
    <xdr:pic>
      <xdr:nvPicPr>
        <xdr:cNvPr id="249" name="image120.jpg">
          <a:extLst>
            <a:ext uri="{FF2B5EF4-FFF2-40B4-BE49-F238E27FC236}">
              <a16:creationId xmlns:a16="http://schemas.microsoft.com/office/drawing/2014/main" id="{00000000-0008-0000-0E00-0000F9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249</xdr:row>
      <xdr:rowOff>0</xdr:rowOff>
    </xdr:from>
    <xdr:ext cx="381000" cy="381000"/>
    <xdr:pic>
      <xdr:nvPicPr>
        <xdr:cNvPr id="250" name="image120.jpg">
          <a:extLst>
            <a:ext uri="{FF2B5EF4-FFF2-40B4-BE49-F238E27FC236}">
              <a16:creationId xmlns:a16="http://schemas.microsoft.com/office/drawing/2014/main" id="{00000000-0008-0000-0E00-0000FA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250</xdr:row>
      <xdr:rowOff>0</xdr:rowOff>
    </xdr:from>
    <xdr:ext cx="381000" cy="381000"/>
    <xdr:pic>
      <xdr:nvPicPr>
        <xdr:cNvPr id="251" name="image120.jpg">
          <a:extLst>
            <a:ext uri="{FF2B5EF4-FFF2-40B4-BE49-F238E27FC236}">
              <a16:creationId xmlns:a16="http://schemas.microsoft.com/office/drawing/2014/main" id="{00000000-0008-0000-0E00-0000FB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251</xdr:row>
      <xdr:rowOff>0</xdr:rowOff>
    </xdr:from>
    <xdr:ext cx="381000" cy="381000"/>
    <xdr:pic>
      <xdr:nvPicPr>
        <xdr:cNvPr id="252" name="image153.png">
          <a:extLst>
            <a:ext uri="{FF2B5EF4-FFF2-40B4-BE49-F238E27FC236}">
              <a16:creationId xmlns:a16="http://schemas.microsoft.com/office/drawing/2014/main" id="{00000000-0008-0000-0E00-0000FC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0</xdr:colOff>
      <xdr:row>252</xdr:row>
      <xdr:rowOff>0</xdr:rowOff>
    </xdr:from>
    <xdr:ext cx="381000" cy="381000"/>
    <xdr:pic>
      <xdr:nvPicPr>
        <xdr:cNvPr id="253" name="image153.png">
          <a:extLst>
            <a:ext uri="{FF2B5EF4-FFF2-40B4-BE49-F238E27FC236}">
              <a16:creationId xmlns:a16="http://schemas.microsoft.com/office/drawing/2014/main" id="{00000000-0008-0000-0E00-0000FD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0</xdr:colOff>
      <xdr:row>253</xdr:row>
      <xdr:rowOff>0</xdr:rowOff>
    </xdr:from>
    <xdr:ext cx="381000" cy="381000"/>
    <xdr:pic>
      <xdr:nvPicPr>
        <xdr:cNvPr id="254" name="image113.jpg">
          <a:extLst>
            <a:ext uri="{FF2B5EF4-FFF2-40B4-BE49-F238E27FC236}">
              <a16:creationId xmlns:a16="http://schemas.microsoft.com/office/drawing/2014/main" id="{00000000-0008-0000-0E00-0000FE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254</xdr:row>
      <xdr:rowOff>0</xdr:rowOff>
    </xdr:from>
    <xdr:ext cx="381000" cy="381000"/>
    <xdr:pic>
      <xdr:nvPicPr>
        <xdr:cNvPr id="255" name="image113.jpg">
          <a:extLst>
            <a:ext uri="{FF2B5EF4-FFF2-40B4-BE49-F238E27FC236}">
              <a16:creationId xmlns:a16="http://schemas.microsoft.com/office/drawing/2014/main" id="{00000000-0008-0000-0E00-0000FF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255</xdr:row>
      <xdr:rowOff>0</xdr:rowOff>
    </xdr:from>
    <xdr:ext cx="381000" cy="381000"/>
    <xdr:pic>
      <xdr:nvPicPr>
        <xdr:cNvPr id="256" name="image113.jpg">
          <a:extLst>
            <a:ext uri="{FF2B5EF4-FFF2-40B4-BE49-F238E27FC236}">
              <a16:creationId xmlns:a16="http://schemas.microsoft.com/office/drawing/2014/main" id="{00000000-0008-0000-0E00-000000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256</xdr:row>
      <xdr:rowOff>0</xdr:rowOff>
    </xdr:from>
    <xdr:ext cx="381000" cy="381000"/>
    <xdr:pic>
      <xdr:nvPicPr>
        <xdr:cNvPr id="257" name="image113.jpg">
          <a:extLst>
            <a:ext uri="{FF2B5EF4-FFF2-40B4-BE49-F238E27FC236}">
              <a16:creationId xmlns:a16="http://schemas.microsoft.com/office/drawing/2014/main" id="{00000000-0008-0000-0E00-000001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257</xdr:row>
      <xdr:rowOff>0</xdr:rowOff>
    </xdr:from>
    <xdr:ext cx="381000" cy="381000"/>
    <xdr:pic>
      <xdr:nvPicPr>
        <xdr:cNvPr id="258" name="image113.jpg">
          <a:extLst>
            <a:ext uri="{FF2B5EF4-FFF2-40B4-BE49-F238E27FC236}">
              <a16:creationId xmlns:a16="http://schemas.microsoft.com/office/drawing/2014/main" id="{00000000-0008-0000-0E00-000002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258</xdr:row>
      <xdr:rowOff>0</xdr:rowOff>
    </xdr:from>
    <xdr:ext cx="381000" cy="381000"/>
    <xdr:pic>
      <xdr:nvPicPr>
        <xdr:cNvPr id="259" name="image113.jpg">
          <a:extLst>
            <a:ext uri="{FF2B5EF4-FFF2-40B4-BE49-F238E27FC236}">
              <a16:creationId xmlns:a16="http://schemas.microsoft.com/office/drawing/2014/main" id="{00000000-0008-0000-0E00-000003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259</xdr:row>
      <xdr:rowOff>0</xdr:rowOff>
    </xdr:from>
    <xdr:ext cx="381000" cy="381000"/>
    <xdr:pic>
      <xdr:nvPicPr>
        <xdr:cNvPr id="260" name="image113.jpg">
          <a:extLst>
            <a:ext uri="{FF2B5EF4-FFF2-40B4-BE49-F238E27FC236}">
              <a16:creationId xmlns:a16="http://schemas.microsoft.com/office/drawing/2014/main" id="{00000000-0008-0000-0E00-000004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260</xdr:row>
      <xdr:rowOff>0</xdr:rowOff>
    </xdr:from>
    <xdr:ext cx="381000" cy="381000"/>
    <xdr:pic>
      <xdr:nvPicPr>
        <xdr:cNvPr id="261" name="image113.jpg">
          <a:extLst>
            <a:ext uri="{FF2B5EF4-FFF2-40B4-BE49-F238E27FC236}">
              <a16:creationId xmlns:a16="http://schemas.microsoft.com/office/drawing/2014/main" id="{00000000-0008-0000-0E00-000005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261</xdr:row>
      <xdr:rowOff>0</xdr:rowOff>
    </xdr:from>
    <xdr:ext cx="381000" cy="381000"/>
    <xdr:pic>
      <xdr:nvPicPr>
        <xdr:cNvPr id="262" name="image113.jpg">
          <a:extLst>
            <a:ext uri="{FF2B5EF4-FFF2-40B4-BE49-F238E27FC236}">
              <a16:creationId xmlns:a16="http://schemas.microsoft.com/office/drawing/2014/main" id="{00000000-0008-0000-0E00-000006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262</xdr:row>
      <xdr:rowOff>0</xdr:rowOff>
    </xdr:from>
    <xdr:ext cx="381000" cy="381000"/>
    <xdr:pic>
      <xdr:nvPicPr>
        <xdr:cNvPr id="263" name="image113.jpg">
          <a:extLst>
            <a:ext uri="{FF2B5EF4-FFF2-40B4-BE49-F238E27FC236}">
              <a16:creationId xmlns:a16="http://schemas.microsoft.com/office/drawing/2014/main" id="{00000000-0008-0000-0E00-000007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263</xdr:row>
      <xdr:rowOff>0</xdr:rowOff>
    </xdr:from>
    <xdr:ext cx="381000" cy="381000"/>
    <xdr:pic>
      <xdr:nvPicPr>
        <xdr:cNvPr id="264" name="image113.jpg">
          <a:extLst>
            <a:ext uri="{FF2B5EF4-FFF2-40B4-BE49-F238E27FC236}">
              <a16:creationId xmlns:a16="http://schemas.microsoft.com/office/drawing/2014/main" id="{00000000-0008-0000-0E00-000008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264</xdr:row>
      <xdr:rowOff>0</xdr:rowOff>
    </xdr:from>
    <xdr:ext cx="381000" cy="381000"/>
    <xdr:pic>
      <xdr:nvPicPr>
        <xdr:cNvPr id="265" name="image113.jpg">
          <a:extLst>
            <a:ext uri="{FF2B5EF4-FFF2-40B4-BE49-F238E27FC236}">
              <a16:creationId xmlns:a16="http://schemas.microsoft.com/office/drawing/2014/main" id="{00000000-0008-0000-0E00-000009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265</xdr:row>
      <xdr:rowOff>0</xdr:rowOff>
    </xdr:from>
    <xdr:ext cx="381000" cy="381000"/>
    <xdr:pic>
      <xdr:nvPicPr>
        <xdr:cNvPr id="266" name="image113.jpg">
          <a:extLst>
            <a:ext uri="{FF2B5EF4-FFF2-40B4-BE49-F238E27FC236}">
              <a16:creationId xmlns:a16="http://schemas.microsoft.com/office/drawing/2014/main" id="{00000000-0008-0000-0E00-00000A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266</xdr:row>
      <xdr:rowOff>0</xdr:rowOff>
    </xdr:from>
    <xdr:ext cx="381000" cy="381000"/>
    <xdr:pic>
      <xdr:nvPicPr>
        <xdr:cNvPr id="267" name="image113.jpg">
          <a:extLst>
            <a:ext uri="{FF2B5EF4-FFF2-40B4-BE49-F238E27FC236}">
              <a16:creationId xmlns:a16="http://schemas.microsoft.com/office/drawing/2014/main" id="{00000000-0008-0000-0E00-00000B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267</xdr:row>
      <xdr:rowOff>0</xdr:rowOff>
    </xdr:from>
    <xdr:ext cx="381000" cy="381000"/>
    <xdr:pic>
      <xdr:nvPicPr>
        <xdr:cNvPr id="268" name="image113.jpg">
          <a:extLst>
            <a:ext uri="{FF2B5EF4-FFF2-40B4-BE49-F238E27FC236}">
              <a16:creationId xmlns:a16="http://schemas.microsoft.com/office/drawing/2014/main" id="{00000000-0008-0000-0E00-00000C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268</xdr:row>
      <xdr:rowOff>0</xdr:rowOff>
    </xdr:from>
    <xdr:ext cx="381000" cy="381000"/>
    <xdr:pic>
      <xdr:nvPicPr>
        <xdr:cNvPr id="269" name="image113.jpg">
          <a:extLst>
            <a:ext uri="{FF2B5EF4-FFF2-40B4-BE49-F238E27FC236}">
              <a16:creationId xmlns:a16="http://schemas.microsoft.com/office/drawing/2014/main" id="{00000000-0008-0000-0E00-00000D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269</xdr:row>
      <xdr:rowOff>0</xdr:rowOff>
    </xdr:from>
    <xdr:ext cx="381000" cy="381000"/>
    <xdr:pic>
      <xdr:nvPicPr>
        <xdr:cNvPr id="270" name="image113.jpg">
          <a:extLst>
            <a:ext uri="{FF2B5EF4-FFF2-40B4-BE49-F238E27FC236}">
              <a16:creationId xmlns:a16="http://schemas.microsoft.com/office/drawing/2014/main" id="{00000000-0008-0000-0E00-00000E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270</xdr:row>
      <xdr:rowOff>0</xdr:rowOff>
    </xdr:from>
    <xdr:ext cx="381000" cy="381000"/>
    <xdr:pic>
      <xdr:nvPicPr>
        <xdr:cNvPr id="271" name="image113.jpg">
          <a:extLst>
            <a:ext uri="{FF2B5EF4-FFF2-40B4-BE49-F238E27FC236}">
              <a16:creationId xmlns:a16="http://schemas.microsoft.com/office/drawing/2014/main" id="{00000000-0008-0000-0E00-00000F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271</xdr:row>
      <xdr:rowOff>0</xdr:rowOff>
    </xdr:from>
    <xdr:ext cx="381000" cy="381000"/>
    <xdr:pic>
      <xdr:nvPicPr>
        <xdr:cNvPr id="272" name="image113.jpg">
          <a:extLst>
            <a:ext uri="{FF2B5EF4-FFF2-40B4-BE49-F238E27FC236}">
              <a16:creationId xmlns:a16="http://schemas.microsoft.com/office/drawing/2014/main" id="{00000000-0008-0000-0E00-000010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272</xdr:row>
      <xdr:rowOff>0</xdr:rowOff>
    </xdr:from>
    <xdr:ext cx="381000" cy="381000"/>
    <xdr:pic>
      <xdr:nvPicPr>
        <xdr:cNvPr id="273" name="image97.jpg">
          <a:extLst>
            <a:ext uri="{FF2B5EF4-FFF2-40B4-BE49-F238E27FC236}">
              <a16:creationId xmlns:a16="http://schemas.microsoft.com/office/drawing/2014/main" id="{00000000-0008-0000-0E00-000011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273</xdr:row>
      <xdr:rowOff>0</xdr:rowOff>
    </xdr:from>
    <xdr:ext cx="381000" cy="381000"/>
    <xdr:pic>
      <xdr:nvPicPr>
        <xdr:cNvPr id="274" name="image97.jpg">
          <a:extLst>
            <a:ext uri="{FF2B5EF4-FFF2-40B4-BE49-F238E27FC236}">
              <a16:creationId xmlns:a16="http://schemas.microsoft.com/office/drawing/2014/main" id="{00000000-0008-0000-0E00-000012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274</xdr:row>
      <xdr:rowOff>0</xdr:rowOff>
    </xdr:from>
    <xdr:ext cx="381000" cy="381000"/>
    <xdr:pic>
      <xdr:nvPicPr>
        <xdr:cNvPr id="275" name="image97.jpg">
          <a:extLst>
            <a:ext uri="{FF2B5EF4-FFF2-40B4-BE49-F238E27FC236}">
              <a16:creationId xmlns:a16="http://schemas.microsoft.com/office/drawing/2014/main" id="{00000000-0008-0000-0E00-000013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275</xdr:row>
      <xdr:rowOff>0</xdr:rowOff>
    </xdr:from>
    <xdr:ext cx="381000" cy="381000"/>
    <xdr:pic>
      <xdr:nvPicPr>
        <xdr:cNvPr id="276" name="image97.jpg">
          <a:extLst>
            <a:ext uri="{FF2B5EF4-FFF2-40B4-BE49-F238E27FC236}">
              <a16:creationId xmlns:a16="http://schemas.microsoft.com/office/drawing/2014/main" id="{00000000-0008-0000-0E00-000014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276</xdr:row>
      <xdr:rowOff>0</xdr:rowOff>
    </xdr:from>
    <xdr:ext cx="381000" cy="381000"/>
    <xdr:pic>
      <xdr:nvPicPr>
        <xdr:cNvPr id="277" name="image97.jpg">
          <a:extLst>
            <a:ext uri="{FF2B5EF4-FFF2-40B4-BE49-F238E27FC236}">
              <a16:creationId xmlns:a16="http://schemas.microsoft.com/office/drawing/2014/main" id="{00000000-0008-0000-0E00-000015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277</xdr:row>
      <xdr:rowOff>0</xdr:rowOff>
    </xdr:from>
    <xdr:ext cx="381000" cy="381000"/>
    <xdr:pic>
      <xdr:nvPicPr>
        <xdr:cNvPr id="278" name="image97.jpg">
          <a:extLst>
            <a:ext uri="{FF2B5EF4-FFF2-40B4-BE49-F238E27FC236}">
              <a16:creationId xmlns:a16="http://schemas.microsoft.com/office/drawing/2014/main" id="{00000000-0008-0000-0E00-000016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278</xdr:row>
      <xdr:rowOff>0</xdr:rowOff>
    </xdr:from>
    <xdr:ext cx="381000" cy="381000"/>
    <xdr:pic>
      <xdr:nvPicPr>
        <xdr:cNvPr id="279" name="image97.jpg">
          <a:extLst>
            <a:ext uri="{FF2B5EF4-FFF2-40B4-BE49-F238E27FC236}">
              <a16:creationId xmlns:a16="http://schemas.microsoft.com/office/drawing/2014/main" id="{00000000-0008-0000-0E00-000017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279</xdr:row>
      <xdr:rowOff>0</xdr:rowOff>
    </xdr:from>
    <xdr:ext cx="381000" cy="381000"/>
    <xdr:pic>
      <xdr:nvPicPr>
        <xdr:cNvPr id="280" name="image97.jpg">
          <a:extLst>
            <a:ext uri="{FF2B5EF4-FFF2-40B4-BE49-F238E27FC236}">
              <a16:creationId xmlns:a16="http://schemas.microsoft.com/office/drawing/2014/main" id="{00000000-0008-0000-0E00-000018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280</xdr:row>
      <xdr:rowOff>0</xdr:rowOff>
    </xdr:from>
    <xdr:ext cx="381000" cy="381000"/>
    <xdr:pic>
      <xdr:nvPicPr>
        <xdr:cNvPr id="281" name="image97.jpg">
          <a:extLst>
            <a:ext uri="{FF2B5EF4-FFF2-40B4-BE49-F238E27FC236}">
              <a16:creationId xmlns:a16="http://schemas.microsoft.com/office/drawing/2014/main" id="{00000000-0008-0000-0E00-000019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281</xdr:row>
      <xdr:rowOff>0</xdr:rowOff>
    </xdr:from>
    <xdr:ext cx="381000" cy="381000"/>
    <xdr:pic>
      <xdr:nvPicPr>
        <xdr:cNvPr id="282" name="image97.jpg">
          <a:extLst>
            <a:ext uri="{FF2B5EF4-FFF2-40B4-BE49-F238E27FC236}">
              <a16:creationId xmlns:a16="http://schemas.microsoft.com/office/drawing/2014/main" id="{00000000-0008-0000-0E00-00001A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282</xdr:row>
      <xdr:rowOff>0</xdr:rowOff>
    </xdr:from>
    <xdr:ext cx="381000" cy="381000"/>
    <xdr:pic>
      <xdr:nvPicPr>
        <xdr:cNvPr id="283" name="image97.jpg">
          <a:extLst>
            <a:ext uri="{FF2B5EF4-FFF2-40B4-BE49-F238E27FC236}">
              <a16:creationId xmlns:a16="http://schemas.microsoft.com/office/drawing/2014/main" id="{00000000-0008-0000-0E00-00001B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283</xdr:row>
      <xdr:rowOff>0</xdr:rowOff>
    </xdr:from>
    <xdr:ext cx="381000" cy="381000"/>
    <xdr:pic>
      <xdr:nvPicPr>
        <xdr:cNvPr id="284" name="image97.jpg">
          <a:extLst>
            <a:ext uri="{FF2B5EF4-FFF2-40B4-BE49-F238E27FC236}">
              <a16:creationId xmlns:a16="http://schemas.microsoft.com/office/drawing/2014/main" id="{00000000-0008-0000-0E00-00001C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284</xdr:row>
      <xdr:rowOff>0</xdr:rowOff>
    </xdr:from>
    <xdr:ext cx="381000" cy="381000"/>
    <xdr:pic>
      <xdr:nvPicPr>
        <xdr:cNvPr id="285" name="image97.jpg">
          <a:extLst>
            <a:ext uri="{FF2B5EF4-FFF2-40B4-BE49-F238E27FC236}">
              <a16:creationId xmlns:a16="http://schemas.microsoft.com/office/drawing/2014/main" id="{00000000-0008-0000-0E00-00001D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285</xdr:row>
      <xdr:rowOff>0</xdr:rowOff>
    </xdr:from>
    <xdr:ext cx="381000" cy="381000"/>
    <xdr:pic>
      <xdr:nvPicPr>
        <xdr:cNvPr id="286" name="image97.jpg">
          <a:extLst>
            <a:ext uri="{FF2B5EF4-FFF2-40B4-BE49-F238E27FC236}">
              <a16:creationId xmlns:a16="http://schemas.microsoft.com/office/drawing/2014/main" id="{00000000-0008-0000-0E00-00001E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286</xdr:row>
      <xdr:rowOff>0</xdr:rowOff>
    </xdr:from>
    <xdr:ext cx="381000" cy="381000"/>
    <xdr:pic>
      <xdr:nvPicPr>
        <xdr:cNvPr id="287" name="image97.jpg">
          <a:extLst>
            <a:ext uri="{FF2B5EF4-FFF2-40B4-BE49-F238E27FC236}">
              <a16:creationId xmlns:a16="http://schemas.microsoft.com/office/drawing/2014/main" id="{00000000-0008-0000-0E00-00001F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287</xdr:row>
      <xdr:rowOff>0</xdr:rowOff>
    </xdr:from>
    <xdr:ext cx="381000" cy="381000"/>
    <xdr:pic>
      <xdr:nvPicPr>
        <xdr:cNvPr id="288" name="image97.jpg">
          <a:extLst>
            <a:ext uri="{FF2B5EF4-FFF2-40B4-BE49-F238E27FC236}">
              <a16:creationId xmlns:a16="http://schemas.microsoft.com/office/drawing/2014/main" id="{00000000-0008-0000-0E00-000020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288</xdr:row>
      <xdr:rowOff>0</xdr:rowOff>
    </xdr:from>
    <xdr:ext cx="381000" cy="381000"/>
    <xdr:pic>
      <xdr:nvPicPr>
        <xdr:cNvPr id="289" name="image97.jpg">
          <a:extLst>
            <a:ext uri="{FF2B5EF4-FFF2-40B4-BE49-F238E27FC236}">
              <a16:creationId xmlns:a16="http://schemas.microsoft.com/office/drawing/2014/main" id="{00000000-0008-0000-0E00-000021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289</xdr:row>
      <xdr:rowOff>0</xdr:rowOff>
    </xdr:from>
    <xdr:ext cx="381000" cy="381000"/>
    <xdr:pic>
      <xdr:nvPicPr>
        <xdr:cNvPr id="290" name="image97.jpg">
          <a:extLst>
            <a:ext uri="{FF2B5EF4-FFF2-40B4-BE49-F238E27FC236}">
              <a16:creationId xmlns:a16="http://schemas.microsoft.com/office/drawing/2014/main" id="{00000000-0008-0000-0E00-000022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290</xdr:row>
      <xdr:rowOff>0</xdr:rowOff>
    </xdr:from>
    <xdr:ext cx="381000" cy="381000"/>
    <xdr:pic>
      <xdr:nvPicPr>
        <xdr:cNvPr id="291" name="image97.jpg">
          <a:extLst>
            <a:ext uri="{FF2B5EF4-FFF2-40B4-BE49-F238E27FC236}">
              <a16:creationId xmlns:a16="http://schemas.microsoft.com/office/drawing/2014/main" id="{00000000-0008-0000-0E00-000023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291</xdr:row>
      <xdr:rowOff>0</xdr:rowOff>
    </xdr:from>
    <xdr:ext cx="381000" cy="381000"/>
    <xdr:pic>
      <xdr:nvPicPr>
        <xdr:cNvPr id="292" name="image97.jpg">
          <a:extLst>
            <a:ext uri="{FF2B5EF4-FFF2-40B4-BE49-F238E27FC236}">
              <a16:creationId xmlns:a16="http://schemas.microsoft.com/office/drawing/2014/main" id="{00000000-0008-0000-0E00-000024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292</xdr:row>
      <xdr:rowOff>0</xdr:rowOff>
    </xdr:from>
    <xdr:ext cx="381000" cy="381000"/>
    <xdr:pic>
      <xdr:nvPicPr>
        <xdr:cNvPr id="293" name="image97.jpg">
          <a:extLst>
            <a:ext uri="{FF2B5EF4-FFF2-40B4-BE49-F238E27FC236}">
              <a16:creationId xmlns:a16="http://schemas.microsoft.com/office/drawing/2014/main" id="{00000000-0008-0000-0E00-000025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293</xdr:row>
      <xdr:rowOff>0</xdr:rowOff>
    </xdr:from>
    <xdr:ext cx="381000" cy="381000"/>
    <xdr:pic>
      <xdr:nvPicPr>
        <xdr:cNvPr id="294" name="image97.jpg">
          <a:extLst>
            <a:ext uri="{FF2B5EF4-FFF2-40B4-BE49-F238E27FC236}">
              <a16:creationId xmlns:a16="http://schemas.microsoft.com/office/drawing/2014/main" id="{00000000-0008-0000-0E00-000026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294</xdr:row>
      <xdr:rowOff>0</xdr:rowOff>
    </xdr:from>
    <xdr:ext cx="381000" cy="381000"/>
    <xdr:pic>
      <xdr:nvPicPr>
        <xdr:cNvPr id="295" name="image97.jpg">
          <a:extLst>
            <a:ext uri="{FF2B5EF4-FFF2-40B4-BE49-F238E27FC236}">
              <a16:creationId xmlns:a16="http://schemas.microsoft.com/office/drawing/2014/main" id="{00000000-0008-0000-0E00-000027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295</xdr:row>
      <xdr:rowOff>0</xdr:rowOff>
    </xdr:from>
    <xdr:ext cx="381000" cy="381000"/>
    <xdr:pic>
      <xdr:nvPicPr>
        <xdr:cNvPr id="296" name="image97.jpg">
          <a:extLst>
            <a:ext uri="{FF2B5EF4-FFF2-40B4-BE49-F238E27FC236}">
              <a16:creationId xmlns:a16="http://schemas.microsoft.com/office/drawing/2014/main" id="{00000000-0008-0000-0E00-000028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296</xdr:row>
      <xdr:rowOff>0</xdr:rowOff>
    </xdr:from>
    <xdr:ext cx="381000" cy="381000"/>
    <xdr:pic>
      <xdr:nvPicPr>
        <xdr:cNvPr id="297" name="image97.jpg">
          <a:extLst>
            <a:ext uri="{FF2B5EF4-FFF2-40B4-BE49-F238E27FC236}">
              <a16:creationId xmlns:a16="http://schemas.microsoft.com/office/drawing/2014/main" id="{00000000-0008-0000-0E00-000029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297</xdr:row>
      <xdr:rowOff>0</xdr:rowOff>
    </xdr:from>
    <xdr:ext cx="381000" cy="381000"/>
    <xdr:pic>
      <xdr:nvPicPr>
        <xdr:cNvPr id="298" name="image97.jpg">
          <a:extLst>
            <a:ext uri="{FF2B5EF4-FFF2-40B4-BE49-F238E27FC236}">
              <a16:creationId xmlns:a16="http://schemas.microsoft.com/office/drawing/2014/main" id="{00000000-0008-0000-0E00-00002A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298</xdr:row>
      <xdr:rowOff>0</xdr:rowOff>
    </xdr:from>
    <xdr:ext cx="381000" cy="381000"/>
    <xdr:pic>
      <xdr:nvPicPr>
        <xdr:cNvPr id="299" name="image97.jpg">
          <a:extLst>
            <a:ext uri="{FF2B5EF4-FFF2-40B4-BE49-F238E27FC236}">
              <a16:creationId xmlns:a16="http://schemas.microsoft.com/office/drawing/2014/main" id="{00000000-0008-0000-0E00-00002B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299</xdr:row>
      <xdr:rowOff>0</xdr:rowOff>
    </xdr:from>
    <xdr:ext cx="381000" cy="381000"/>
    <xdr:pic>
      <xdr:nvPicPr>
        <xdr:cNvPr id="300" name="image97.jpg">
          <a:extLst>
            <a:ext uri="{FF2B5EF4-FFF2-40B4-BE49-F238E27FC236}">
              <a16:creationId xmlns:a16="http://schemas.microsoft.com/office/drawing/2014/main" id="{00000000-0008-0000-0E00-00002C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300</xdr:row>
      <xdr:rowOff>0</xdr:rowOff>
    </xdr:from>
    <xdr:ext cx="381000" cy="381000"/>
    <xdr:pic>
      <xdr:nvPicPr>
        <xdr:cNvPr id="301" name="image97.jpg">
          <a:extLst>
            <a:ext uri="{FF2B5EF4-FFF2-40B4-BE49-F238E27FC236}">
              <a16:creationId xmlns:a16="http://schemas.microsoft.com/office/drawing/2014/main" id="{00000000-0008-0000-0E00-00002D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301</xdr:row>
      <xdr:rowOff>0</xdr:rowOff>
    </xdr:from>
    <xdr:ext cx="381000" cy="381000"/>
    <xdr:pic>
      <xdr:nvPicPr>
        <xdr:cNvPr id="302" name="image97.jpg">
          <a:extLst>
            <a:ext uri="{FF2B5EF4-FFF2-40B4-BE49-F238E27FC236}">
              <a16:creationId xmlns:a16="http://schemas.microsoft.com/office/drawing/2014/main" id="{00000000-0008-0000-0E00-00002E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302</xdr:row>
      <xdr:rowOff>0</xdr:rowOff>
    </xdr:from>
    <xdr:ext cx="381000" cy="381000"/>
    <xdr:pic>
      <xdr:nvPicPr>
        <xdr:cNvPr id="303" name="image97.jpg">
          <a:extLst>
            <a:ext uri="{FF2B5EF4-FFF2-40B4-BE49-F238E27FC236}">
              <a16:creationId xmlns:a16="http://schemas.microsoft.com/office/drawing/2014/main" id="{00000000-0008-0000-0E00-00002F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303</xdr:row>
      <xdr:rowOff>0</xdr:rowOff>
    </xdr:from>
    <xdr:ext cx="381000" cy="381000"/>
    <xdr:pic>
      <xdr:nvPicPr>
        <xdr:cNvPr id="304" name="image97.jpg">
          <a:extLst>
            <a:ext uri="{FF2B5EF4-FFF2-40B4-BE49-F238E27FC236}">
              <a16:creationId xmlns:a16="http://schemas.microsoft.com/office/drawing/2014/main" id="{00000000-0008-0000-0E00-000030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304</xdr:row>
      <xdr:rowOff>0</xdr:rowOff>
    </xdr:from>
    <xdr:ext cx="381000" cy="381000"/>
    <xdr:pic>
      <xdr:nvPicPr>
        <xdr:cNvPr id="305" name="image97.jpg">
          <a:extLst>
            <a:ext uri="{FF2B5EF4-FFF2-40B4-BE49-F238E27FC236}">
              <a16:creationId xmlns:a16="http://schemas.microsoft.com/office/drawing/2014/main" id="{00000000-0008-0000-0E00-000031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305</xdr:row>
      <xdr:rowOff>0</xdr:rowOff>
    </xdr:from>
    <xdr:ext cx="381000" cy="381000"/>
    <xdr:pic>
      <xdr:nvPicPr>
        <xdr:cNvPr id="306" name="image97.jpg">
          <a:extLst>
            <a:ext uri="{FF2B5EF4-FFF2-40B4-BE49-F238E27FC236}">
              <a16:creationId xmlns:a16="http://schemas.microsoft.com/office/drawing/2014/main" id="{00000000-0008-0000-0E00-000032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306</xdr:row>
      <xdr:rowOff>0</xdr:rowOff>
    </xdr:from>
    <xdr:ext cx="381000" cy="381000"/>
    <xdr:pic>
      <xdr:nvPicPr>
        <xdr:cNvPr id="307" name="image97.jpg">
          <a:extLst>
            <a:ext uri="{FF2B5EF4-FFF2-40B4-BE49-F238E27FC236}">
              <a16:creationId xmlns:a16="http://schemas.microsoft.com/office/drawing/2014/main" id="{00000000-0008-0000-0E00-000033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307</xdr:row>
      <xdr:rowOff>0</xdr:rowOff>
    </xdr:from>
    <xdr:ext cx="381000" cy="381000"/>
    <xdr:pic>
      <xdr:nvPicPr>
        <xdr:cNvPr id="308" name="image97.jpg">
          <a:extLst>
            <a:ext uri="{FF2B5EF4-FFF2-40B4-BE49-F238E27FC236}">
              <a16:creationId xmlns:a16="http://schemas.microsoft.com/office/drawing/2014/main" id="{00000000-0008-0000-0E00-000034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308</xdr:row>
      <xdr:rowOff>0</xdr:rowOff>
    </xdr:from>
    <xdr:ext cx="381000" cy="381000"/>
    <xdr:pic>
      <xdr:nvPicPr>
        <xdr:cNvPr id="309" name="image97.jpg">
          <a:extLst>
            <a:ext uri="{FF2B5EF4-FFF2-40B4-BE49-F238E27FC236}">
              <a16:creationId xmlns:a16="http://schemas.microsoft.com/office/drawing/2014/main" id="{00000000-0008-0000-0E00-000035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309</xdr:row>
      <xdr:rowOff>0</xdr:rowOff>
    </xdr:from>
    <xdr:ext cx="381000" cy="381000"/>
    <xdr:pic>
      <xdr:nvPicPr>
        <xdr:cNvPr id="310" name="image97.jpg">
          <a:extLst>
            <a:ext uri="{FF2B5EF4-FFF2-40B4-BE49-F238E27FC236}">
              <a16:creationId xmlns:a16="http://schemas.microsoft.com/office/drawing/2014/main" id="{00000000-0008-0000-0E00-000036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310</xdr:row>
      <xdr:rowOff>0</xdr:rowOff>
    </xdr:from>
    <xdr:ext cx="381000" cy="381000"/>
    <xdr:pic>
      <xdr:nvPicPr>
        <xdr:cNvPr id="311" name="image97.jpg">
          <a:extLst>
            <a:ext uri="{FF2B5EF4-FFF2-40B4-BE49-F238E27FC236}">
              <a16:creationId xmlns:a16="http://schemas.microsoft.com/office/drawing/2014/main" id="{00000000-0008-0000-0E00-000037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311</xdr:row>
      <xdr:rowOff>0</xdr:rowOff>
    </xdr:from>
    <xdr:ext cx="381000" cy="381000"/>
    <xdr:pic>
      <xdr:nvPicPr>
        <xdr:cNvPr id="312" name="image97.jpg">
          <a:extLst>
            <a:ext uri="{FF2B5EF4-FFF2-40B4-BE49-F238E27FC236}">
              <a16:creationId xmlns:a16="http://schemas.microsoft.com/office/drawing/2014/main" id="{00000000-0008-0000-0E00-000038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312</xdr:row>
      <xdr:rowOff>0</xdr:rowOff>
    </xdr:from>
    <xdr:ext cx="381000" cy="381000"/>
    <xdr:pic>
      <xdr:nvPicPr>
        <xdr:cNvPr id="313" name="image97.jpg">
          <a:extLst>
            <a:ext uri="{FF2B5EF4-FFF2-40B4-BE49-F238E27FC236}">
              <a16:creationId xmlns:a16="http://schemas.microsoft.com/office/drawing/2014/main" id="{00000000-0008-0000-0E00-000039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313</xdr:row>
      <xdr:rowOff>0</xdr:rowOff>
    </xdr:from>
    <xdr:ext cx="381000" cy="381000"/>
    <xdr:pic>
      <xdr:nvPicPr>
        <xdr:cNvPr id="314" name="image97.jpg">
          <a:extLst>
            <a:ext uri="{FF2B5EF4-FFF2-40B4-BE49-F238E27FC236}">
              <a16:creationId xmlns:a16="http://schemas.microsoft.com/office/drawing/2014/main" id="{00000000-0008-0000-0E00-00003A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314</xdr:row>
      <xdr:rowOff>0</xdr:rowOff>
    </xdr:from>
    <xdr:ext cx="381000" cy="381000"/>
    <xdr:pic>
      <xdr:nvPicPr>
        <xdr:cNvPr id="315" name="image97.jpg">
          <a:extLst>
            <a:ext uri="{FF2B5EF4-FFF2-40B4-BE49-F238E27FC236}">
              <a16:creationId xmlns:a16="http://schemas.microsoft.com/office/drawing/2014/main" id="{00000000-0008-0000-0E00-00003B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315</xdr:row>
      <xdr:rowOff>0</xdr:rowOff>
    </xdr:from>
    <xdr:ext cx="381000" cy="381000"/>
    <xdr:pic>
      <xdr:nvPicPr>
        <xdr:cNvPr id="316" name="image97.jpg">
          <a:extLst>
            <a:ext uri="{FF2B5EF4-FFF2-40B4-BE49-F238E27FC236}">
              <a16:creationId xmlns:a16="http://schemas.microsoft.com/office/drawing/2014/main" id="{00000000-0008-0000-0E00-00003C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316</xdr:row>
      <xdr:rowOff>0</xdr:rowOff>
    </xdr:from>
    <xdr:ext cx="381000" cy="381000"/>
    <xdr:pic>
      <xdr:nvPicPr>
        <xdr:cNvPr id="317" name="image97.jpg">
          <a:extLst>
            <a:ext uri="{FF2B5EF4-FFF2-40B4-BE49-F238E27FC236}">
              <a16:creationId xmlns:a16="http://schemas.microsoft.com/office/drawing/2014/main" id="{00000000-0008-0000-0E00-00003D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317</xdr:row>
      <xdr:rowOff>0</xdr:rowOff>
    </xdr:from>
    <xdr:ext cx="381000" cy="381000"/>
    <xdr:pic>
      <xdr:nvPicPr>
        <xdr:cNvPr id="318" name="image97.jpg">
          <a:extLst>
            <a:ext uri="{FF2B5EF4-FFF2-40B4-BE49-F238E27FC236}">
              <a16:creationId xmlns:a16="http://schemas.microsoft.com/office/drawing/2014/main" id="{00000000-0008-0000-0E00-00003E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318</xdr:row>
      <xdr:rowOff>0</xdr:rowOff>
    </xdr:from>
    <xdr:ext cx="381000" cy="381000"/>
    <xdr:pic>
      <xdr:nvPicPr>
        <xdr:cNvPr id="319" name="image97.jpg">
          <a:extLst>
            <a:ext uri="{FF2B5EF4-FFF2-40B4-BE49-F238E27FC236}">
              <a16:creationId xmlns:a16="http://schemas.microsoft.com/office/drawing/2014/main" id="{00000000-0008-0000-0E00-00003F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319</xdr:row>
      <xdr:rowOff>0</xdr:rowOff>
    </xdr:from>
    <xdr:ext cx="381000" cy="381000"/>
    <xdr:pic>
      <xdr:nvPicPr>
        <xdr:cNvPr id="320" name="image97.jpg">
          <a:extLst>
            <a:ext uri="{FF2B5EF4-FFF2-40B4-BE49-F238E27FC236}">
              <a16:creationId xmlns:a16="http://schemas.microsoft.com/office/drawing/2014/main" id="{00000000-0008-0000-0E00-000040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320</xdr:row>
      <xdr:rowOff>0</xdr:rowOff>
    </xdr:from>
    <xdr:ext cx="381000" cy="381000"/>
    <xdr:pic>
      <xdr:nvPicPr>
        <xdr:cNvPr id="321" name="image97.jpg">
          <a:extLst>
            <a:ext uri="{FF2B5EF4-FFF2-40B4-BE49-F238E27FC236}">
              <a16:creationId xmlns:a16="http://schemas.microsoft.com/office/drawing/2014/main" id="{00000000-0008-0000-0E00-000041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321</xdr:row>
      <xdr:rowOff>0</xdr:rowOff>
    </xdr:from>
    <xdr:ext cx="381000" cy="381000"/>
    <xdr:pic>
      <xdr:nvPicPr>
        <xdr:cNvPr id="322" name="image97.jpg">
          <a:extLst>
            <a:ext uri="{FF2B5EF4-FFF2-40B4-BE49-F238E27FC236}">
              <a16:creationId xmlns:a16="http://schemas.microsoft.com/office/drawing/2014/main" id="{00000000-0008-0000-0E00-000042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322</xdr:row>
      <xdr:rowOff>0</xdr:rowOff>
    </xdr:from>
    <xdr:ext cx="381000" cy="381000"/>
    <xdr:pic>
      <xdr:nvPicPr>
        <xdr:cNvPr id="323" name="image97.jpg">
          <a:extLst>
            <a:ext uri="{FF2B5EF4-FFF2-40B4-BE49-F238E27FC236}">
              <a16:creationId xmlns:a16="http://schemas.microsoft.com/office/drawing/2014/main" id="{00000000-0008-0000-0E00-000043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323</xdr:row>
      <xdr:rowOff>0</xdr:rowOff>
    </xdr:from>
    <xdr:ext cx="381000" cy="381000"/>
    <xdr:pic>
      <xdr:nvPicPr>
        <xdr:cNvPr id="324" name="image97.jpg">
          <a:extLst>
            <a:ext uri="{FF2B5EF4-FFF2-40B4-BE49-F238E27FC236}">
              <a16:creationId xmlns:a16="http://schemas.microsoft.com/office/drawing/2014/main" id="{00000000-0008-0000-0E00-000044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324</xdr:row>
      <xdr:rowOff>0</xdr:rowOff>
    </xdr:from>
    <xdr:ext cx="381000" cy="381000"/>
    <xdr:pic>
      <xdr:nvPicPr>
        <xdr:cNvPr id="325" name="image97.jpg">
          <a:extLst>
            <a:ext uri="{FF2B5EF4-FFF2-40B4-BE49-F238E27FC236}">
              <a16:creationId xmlns:a16="http://schemas.microsoft.com/office/drawing/2014/main" id="{00000000-0008-0000-0E00-000045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325</xdr:row>
      <xdr:rowOff>0</xdr:rowOff>
    </xdr:from>
    <xdr:ext cx="381000" cy="381000"/>
    <xdr:pic>
      <xdr:nvPicPr>
        <xdr:cNvPr id="326" name="image97.jpg">
          <a:extLst>
            <a:ext uri="{FF2B5EF4-FFF2-40B4-BE49-F238E27FC236}">
              <a16:creationId xmlns:a16="http://schemas.microsoft.com/office/drawing/2014/main" id="{00000000-0008-0000-0E00-000046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326</xdr:row>
      <xdr:rowOff>0</xdr:rowOff>
    </xdr:from>
    <xdr:ext cx="381000" cy="381000"/>
    <xdr:pic>
      <xdr:nvPicPr>
        <xdr:cNvPr id="327" name="image216.jpg">
          <a:extLst>
            <a:ext uri="{FF2B5EF4-FFF2-40B4-BE49-F238E27FC236}">
              <a16:creationId xmlns:a16="http://schemas.microsoft.com/office/drawing/2014/main" id="{00000000-0008-0000-0E00-000047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327</xdr:row>
      <xdr:rowOff>0</xdr:rowOff>
    </xdr:from>
    <xdr:ext cx="381000" cy="381000"/>
    <xdr:pic>
      <xdr:nvPicPr>
        <xdr:cNvPr id="328" name="image216.jpg">
          <a:extLst>
            <a:ext uri="{FF2B5EF4-FFF2-40B4-BE49-F238E27FC236}">
              <a16:creationId xmlns:a16="http://schemas.microsoft.com/office/drawing/2014/main" id="{00000000-0008-0000-0E00-000048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328</xdr:row>
      <xdr:rowOff>0</xdr:rowOff>
    </xdr:from>
    <xdr:ext cx="381000" cy="381000"/>
    <xdr:pic>
      <xdr:nvPicPr>
        <xdr:cNvPr id="329" name="image216.jpg">
          <a:extLst>
            <a:ext uri="{FF2B5EF4-FFF2-40B4-BE49-F238E27FC236}">
              <a16:creationId xmlns:a16="http://schemas.microsoft.com/office/drawing/2014/main" id="{00000000-0008-0000-0E00-000049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329</xdr:row>
      <xdr:rowOff>0</xdr:rowOff>
    </xdr:from>
    <xdr:ext cx="381000" cy="381000"/>
    <xdr:pic>
      <xdr:nvPicPr>
        <xdr:cNvPr id="330" name="image216.jpg">
          <a:extLst>
            <a:ext uri="{FF2B5EF4-FFF2-40B4-BE49-F238E27FC236}">
              <a16:creationId xmlns:a16="http://schemas.microsoft.com/office/drawing/2014/main" id="{00000000-0008-0000-0E00-00004A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330</xdr:row>
      <xdr:rowOff>0</xdr:rowOff>
    </xdr:from>
    <xdr:ext cx="381000" cy="381000"/>
    <xdr:pic>
      <xdr:nvPicPr>
        <xdr:cNvPr id="331" name="image216.jpg">
          <a:extLst>
            <a:ext uri="{FF2B5EF4-FFF2-40B4-BE49-F238E27FC236}">
              <a16:creationId xmlns:a16="http://schemas.microsoft.com/office/drawing/2014/main" id="{00000000-0008-0000-0E00-00004B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331</xdr:row>
      <xdr:rowOff>0</xdr:rowOff>
    </xdr:from>
    <xdr:ext cx="381000" cy="381000"/>
    <xdr:pic>
      <xdr:nvPicPr>
        <xdr:cNvPr id="332" name="image216.jpg">
          <a:extLst>
            <a:ext uri="{FF2B5EF4-FFF2-40B4-BE49-F238E27FC236}">
              <a16:creationId xmlns:a16="http://schemas.microsoft.com/office/drawing/2014/main" id="{00000000-0008-0000-0E00-00004C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332</xdr:row>
      <xdr:rowOff>0</xdr:rowOff>
    </xdr:from>
    <xdr:ext cx="381000" cy="381000"/>
    <xdr:pic>
      <xdr:nvPicPr>
        <xdr:cNvPr id="333" name="image216.jpg">
          <a:extLst>
            <a:ext uri="{FF2B5EF4-FFF2-40B4-BE49-F238E27FC236}">
              <a16:creationId xmlns:a16="http://schemas.microsoft.com/office/drawing/2014/main" id="{00000000-0008-0000-0E00-00004D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333</xdr:row>
      <xdr:rowOff>0</xdr:rowOff>
    </xdr:from>
    <xdr:ext cx="381000" cy="381000"/>
    <xdr:pic>
      <xdr:nvPicPr>
        <xdr:cNvPr id="334" name="image216.jpg">
          <a:extLst>
            <a:ext uri="{FF2B5EF4-FFF2-40B4-BE49-F238E27FC236}">
              <a16:creationId xmlns:a16="http://schemas.microsoft.com/office/drawing/2014/main" id="{00000000-0008-0000-0E00-00004E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334</xdr:row>
      <xdr:rowOff>0</xdr:rowOff>
    </xdr:from>
    <xdr:ext cx="381000" cy="381000"/>
    <xdr:pic>
      <xdr:nvPicPr>
        <xdr:cNvPr id="335" name="image216.jpg">
          <a:extLst>
            <a:ext uri="{FF2B5EF4-FFF2-40B4-BE49-F238E27FC236}">
              <a16:creationId xmlns:a16="http://schemas.microsoft.com/office/drawing/2014/main" id="{00000000-0008-0000-0E00-00004F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335</xdr:row>
      <xdr:rowOff>0</xdr:rowOff>
    </xdr:from>
    <xdr:ext cx="381000" cy="381000"/>
    <xdr:pic>
      <xdr:nvPicPr>
        <xdr:cNvPr id="336" name="image133.jpg">
          <a:extLst>
            <a:ext uri="{FF2B5EF4-FFF2-40B4-BE49-F238E27FC236}">
              <a16:creationId xmlns:a16="http://schemas.microsoft.com/office/drawing/2014/main" id="{00000000-0008-0000-0E00-000050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336</xdr:row>
      <xdr:rowOff>0</xdr:rowOff>
    </xdr:from>
    <xdr:ext cx="381000" cy="381000"/>
    <xdr:pic>
      <xdr:nvPicPr>
        <xdr:cNvPr id="337" name="image133.jpg">
          <a:extLst>
            <a:ext uri="{FF2B5EF4-FFF2-40B4-BE49-F238E27FC236}">
              <a16:creationId xmlns:a16="http://schemas.microsoft.com/office/drawing/2014/main" id="{00000000-0008-0000-0E00-000051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337</xdr:row>
      <xdr:rowOff>0</xdr:rowOff>
    </xdr:from>
    <xdr:ext cx="381000" cy="381000"/>
    <xdr:pic>
      <xdr:nvPicPr>
        <xdr:cNvPr id="338" name="image133.jpg">
          <a:extLst>
            <a:ext uri="{FF2B5EF4-FFF2-40B4-BE49-F238E27FC236}">
              <a16:creationId xmlns:a16="http://schemas.microsoft.com/office/drawing/2014/main" id="{00000000-0008-0000-0E00-000052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338</xdr:row>
      <xdr:rowOff>0</xdr:rowOff>
    </xdr:from>
    <xdr:ext cx="381000" cy="381000"/>
    <xdr:pic>
      <xdr:nvPicPr>
        <xdr:cNvPr id="339" name="image133.jpg">
          <a:extLst>
            <a:ext uri="{FF2B5EF4-FFF2-40B4-BE49-F238E27FC236}">
              <a16:creationId xmlns:a16="http://schemas.microsoft.com/office/drawing/2014/main" id="{00000000-0008-0000-0E00-000053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339</xdr:row>
      <xdr:rowOff>0</xdr:rowOff>
    </xdr:from>
    <xdr:ext cx="381000" cy="381000"/>
    <xdr:pic>
      <xdr:nvPicPr>
        <xdr:cNvPr id="340" name="image133.jpg">
          <a:extLst>
            <a:ext uri="{FF2B5EF4-FFF2-40B4-BE49-F238E27FC236}">
              <a16:creationId xmlns:a16="http://schemas.microsoft.com/office/drawing/2014/main" id="{00000000-0008-0000-0E00-000054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340</xdr:row>
      <xdr:rowOff>0</xdr:rowOff>
    </xdr:from>
    <xdr:ext cx="381000" cy="381000"/>
    <xdr:pic>
      <xdr:nvPicPr>
        <xdr:cNvPr id="341" name="image133.jpg">
          <a:extLst>
            <a:ext uri="{FF2B5EF4-FFF2-40B4-BE49-F238E27FC236}">
              <a16:creationId xmlns:a16="http://schemas.microsoft.com/office/drawing/2014/main" id="{00000000-0008-0000-0E00-000055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341</xdr:row>
      <xdr:rowOff>0</xdr:rowOff>
    </xdr:from>
    <xdr:ext cx="381000" cy="381000"/>
    <xdr:pic>
      <xdr:nvPicPr>
        <xdr:cNvPr id="342" name="image133.jpg">
          <a:extLst>
            <a:ext uri="{FF2B5EF4-FFF2-40B4-BE49-F238E27FC236}">
              <a16:creationId xmlns:a16="http://schemas.microsoft.com/office/drawing/2014/main" id="{00000000-0008-0000-0E00-000056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342</xdr:row>
      <xdr:rowOff>0</xdr:rowOff>
    </xdr:from>
    <xdr:ext cx="381000" cy="381000"/>
    <xdr:pic>
      <xdr:nvPicPr>
        <xdr:cNvPr id="343" name="image78.jpg">
          <a:extLst>
            <a:ext uri="{FF2B5EF4-FFF2-40B4-BE49-F238E27FC236}">
              <a16:creationId xmlns:a16="http://schemas.microsoft.com/office/drawing/2014/main" id="{00000000-0008-0000-0E00-000057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343</xdr:row>
      <xdr:rowOff>0</xdr:rowOff>
    </xdr:from>
    <xdr:ext cx="381000" cy="381000"/>
    <xdr:pic>
      <xdr:nvPicPr>
        <xdr:cNvPr id="344" name="image78.jpg">
          <a:extLst>
            <a:ext uri="{FF2B5EF4-FFF2-40B4-BE49-F238E27FC236}">
              <a16:creationId xmlns:a16="http://schemas.microsoft.com/office/drawing/2014/main" id="{00000000-0008-0000-0E00-000058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344</xdr:row>
      <xdr:rowOff>0</xdr:rowOff>
    </xdr:from>
    <xdr:ext cx="381000" cy="381000"/>
    <xdr:pic>
      <xdr:nvPicPr>
        <xdr:cNvPr id="345" name="image78.jpg">
          <a:extLst>
            <a:ext uri="{FF2B5EF4-FFF2-40B4-BE49-F238E27FC236}">
              <a16:creationId xmlns:a16="http://schemas.microsoft.com/office/drawing/2014/main" id="{00000000-0008-0000-0E00-000059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345</xdr:row>
      <xdr:rowOff>0</xdr:rowOff>
    </xdr:from>
    <xdr:ext cx="381000" cy="381000"/>
    <xdr:pic>
      <xdr:nvPicPr>
        <xdr:cNvPr id="346" name="image78.jpg">
          <a:extLst>
            <a:ext uri="{FF2B5EF4-FFF2-40B4-BE49-F238E27FC236}">
              <a16:creationId xmlns:a16="http://schemas.microsoft.com/office/drawing/2014/main" id="{00000000-0008-0000-0E00-00005A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346</xdr:row>
      <xdr:rowOff>0</xdr:rowOff>
    </xdr:from>
    <xdr:ext cx="381000" cy="381000"/>
    <xdr:pic>
      <xdr:nvPicPr>
        <xdr:cNvPr id="347" name="image78.jpg">
          <a:extLst>
            <a:ext uri="{FF2B5EF4-FFF2-40B4-BE49-F238E27FC236}">
              <a16:creationId xmlns:a16="http://schemas.microsoft.com/office/drawing/2014/main" id="{00000000-0008-0000-0E00-00005B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347</xdr:row>
      <xdr:rowOff>0</xdr:rowOff>
    </xdr:from>
    <xdr:ext cx="381000" cy="381000"/>
    <xdr:pic>
      <xdr:nvPicPr>
        <xdr:cNvPr id="348" name="image78.jpg">
          <a:extLst>
            <a:ext uri="{FF2B5EF4-FFF2-40B4-BE49-F238E27FC236}">
              <a16:creationId xmlns:a16="http://schemas.microsoft.com/office/drawing/2014/main" id="{00000000-0008-0000-0E00-00005C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348</xdr:row>
      <xdr:rowOff>0</xdr:rowOff>
    </xdr:from>
    <xdr:ext cx="381000" cy="381000"/>
    <xdr:pic>
      <xdr:nvPicPr>
        <xdr:cNvPr id="349" name="image78.jpg">
          <a:extLst>
            <a:ext uri="{FF2B5EF4-FFF2-40B4-BE49-F238E27FC236}">
              <a16:creationId xmlns:a16="http://schemas.microsoft.com/office/drawing/2014/main" id="{00000000-0008-0000-0E00-00005D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349</xdr:row>
      <xdr:rowOff>0</xdr:rowOff>
    </xdr:from>
    <xdr:ext cx="381000" cy="381000"/>
    <xdr:pic>
      <xdr:nvPicPr>
        <xdr:cNvPr id="350" name="image78.jpg">
          <a:extLst>
            <a:ext uri="{FF2B5EF4-FFF2-40B4-BE49-F238E27FC236}">
              <a16:creationId xmlns:a16="http://schemas.microsoft.com/office/drawing/2014/main" id="{00000000-0008-0000-0E00-00005E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350</xdr:row>
      <xdr:rowOff>0</xdr:rowOff>
    </xdr:from>
    <xdr:ext cx="381000" cy="381000"/>
    <xdr:pic>
      <xdr:nvPicPr>
        <xdr:cNvPr id="351" name="image78.jpg">
          <a:extLst>
            <a:ext uri="{FF2B5EF4-FFF2-40B4-BE49-F238E27FC236}">
              <a16:creationId xmlns:a16="http://schemas.microsoft.com/office/drawing/2014/main" id="{00000000-0008-0000-0E00-00005F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351</xdr:row>
      <xdr:rowOff>0</xdr:rowOff>
    </xdr:from>
    <xdr:ext cx="381000" cy="381000"/>
    <xdr:pic>
      <xdr:nvPicPr>
        <xdr:cNvPr id="352" name="image105.jpg">
          <a:extLst>
            <a:ext uri="{FF2B5EF4-FFF2-40B4-BE49-F238E27FC236}">
              <a16:creationId xmlns:a16="http://schemas.microsoft.com/office/drawing/2014/main" id="{00000000-0008-0000-0E00-000060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352</xdr:row>
      <xdr:rowOff>0</xdr:rowOff>
    </xdr:from>
    <xdr:ext cx="381000" cy="381000"/>
    <xdr:pic>
      <xdr:nvPicPr>
        <xdr:cNvPr id="353" name="image105.jpg">
          <a:extLst>
            <a:ext uri="{FF2B5EF4-FFF2-40B4-BE49-F238E27FC236}">
              <a16:creationId xmlns:a16="http://schemas.microsoft.com/office/drawing/2014/main" id="{00000000-0008-0000-0E00-000061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353</xdr:row>
      <xdr:rowOff>0</xdr:rowOff>
    </xdr:from>
    <xdr:ext cx="381000" cy="381000"/>
    <xdr:pic>
      <xdr:nvPicPr>
        <xdr:cNvPr id="354" name="image67.jpg">
          <a:extLst>
            <a:ext uri="{FF2B5EF4-FFF2-40B4-BE49-F238E27FC236}">
              <a16:creationId xmlns:a16="http://schemas.microsoft.com/office/drawing/2014/main" id="{00000000-0008-0000-0E00-000062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354</xdr:row>
      <xdr:rowOff>0</xdr:rowOff>
    </xdr:from>
    <xdr:ext cx="381000" cy="381000"/>
    <xdr:pic>
      <xdr:nvPicPr>
        <xdr:cNvPr id="355" name="image67.jpg">
          <a:extLst>
            <a:ext uri="{FF2B5EF4-FFF2-40B4-BE49-F238E27FC236}">
              <a16:creationId xmlns:a16="http://schemas.microsoft.com/office/drawing/2014/main" id="{00000000-0008-0000-0E00-000063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355</xdr:row>
      <xdr:rowOff>0</xdr:rowOff>
    </xdr:from>
    <xdr:ext cx="381000" cy="381000"/>
    <xdr:pic>
      <xdr:nvPicPr>
        <xdr:cNvPr id="356" name="image67.jpg">
          <a:extLst>
            <a:ext uri="{FF2B5EF4-FFF2-40B4-BE49-F238E27FC236}">
              <a16:creationId xmlns:a16="http://schemas.microsoft.com/office/drawing/2014/main" id="{00000000-0008-0000-0E00-000064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356</xdr:row>
      <xdr:rowOff>0</xdr:rowOff>
    </xdr:from>
    <xdr:ext cx="381000" cy="381000"/>
    <xdr:pic>
      <xdr:nvPicPr>
        <xdr:cNvPr id="357" name="image67.jpg">
          <a:extLst>
            <a:ext uri="{FF2B5EF4-FFF2-40B4-BE49-F238E27FC236}">
              <a16:creationId xmlns:a16="http://schemas.microsoft.com/office/drawing/2014/main" id="{00000000-0008-0000-0E00-000065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357</xdr:row>
      <xdr:rowOff>0</xdr:rowOff>
    </xdr:from>
    <xdr:ext cx="381000" cy="381000"/>
    <xdr:pic>
      <xdr:nvPicPr>
        <xdr:cNvPr id="358" name="image67.jpg">
          <a:extLst>
            <a:ext uri="{FF2B5EF4-FFF2-40B4-BE49-F238E27FC236}">
              <a16:creationId xmlns:a16="http://schemas.microsoft.com/office/drawing/2014/main" id="{00000000-0008-0000-0E00-000066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358</xdr:row>
      <xdr:rowOff>0</xdr:rowOff>
    </xdr:from>
    <xdr:ext cx="381000" cy="381000"/>
    <xdr:pic>
      <xdr:nvPicPr>
        <xdr:cNvPr id="359" name="image67.jpg">
          <a:extLst>
            <a:ext uri="{FF2B5EF4-FFF2-40B4-BE49-F238E27FC236}">
              <a16:creationId xmlns:a16="http://schemas.microsoft.com/office/drawing/2014/main" id="{00000000-0008-0000-0E00-000067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359</xdr:row>
      <xdr:rowOff>0</xdr:rowOff>
    </xdr:from>
    <xdr:ext cx="381000" cy="381000"/>
    <xdr:pic>
      <xdr:nvPicPr>
        <xdr:cNvPr id="360" name="image67.jpg">
          <a:extLst>
            <a:ext uri="{FF2B5EF4-FFF2-40B4-BE49-F238E27FC236}">
              <a16:creationId xmlns:a16="http://schemas.microsoft.com/office/drawing/2014/main" id="{00000000-0008-0000-0E00-000068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360</xdr:row>
      <xdr:rowOff>0</xdr:rowOff>
    </xdr:from>
    <xdr:ext cx="381000" cy="381000"/>
    <xdr:pic>
      <xdr:nvPicPr>
        <xdr:cNvPr id="361" name="image67.jpg">
          <a:extLst>
            <a:ext uri="{FF2B5EF4-FFF2-40B4-BE49-F238E27FC236}">
              <a16:creationId xmlns:a16="http://schemas.microsoft.com/office/drawing/2014/main" id="{00000000-0008-0000-0E00-000069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361</xdr:row>
      <xdr:rowOff>0</xdr:rowOff>
    </xdr:from>
    <xdr:ext cx="381000" cy="381000"/>
    <xdr:pic>
      <xdr:nvPicPr>
        <xdr:cNvPr id="362" name="image67.jpg">
          <a:extLst>
            <a:ext uri="{FF2B5EF4-FFF2-40B4-BE49-F238E27FC236}">
              <a16:creationId xmlns:a16="http://schemas.microsoft.com/office/drawing/2014/main" id="{00000000-0008-0000-0E00-00006A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362</xdr:row>
      <xdr:rowOff>0</xdr:rowOff>
    </xdr:from>
    <xdr:ext cx="381000" cy="381000"/>
    <xdr:pic>
      <xdr:nvPicPr>
        <xdr:cNvPr id="363" name="image67.jpg">
          <a:extLst>
            <a:ext uri="{FF2B5EF4-FFF2-40B4-BE49-F238E27FC236}">
              <a16:creationId xmlns:a16="http://schemas.microsoft.com/office/drawing/2014/main" id="{00000000-0008-0000-0E00-00006B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363</xdr:row>
      <xdr:rowOff>0</xdr:rowOff>
    </xdr:from>
    <xdr:ext cx="381000" cy="381000"/>
    <xdr:pic>
      <xdr:nvPicPr>
        <xdr:cNvPr id="364" name="image67.jpg">
          <a:extLst>
            <a:ext uri="{FF2B5EF4-FFF2-40B4-BE49-F238E27FC236}">
              <a16:creationId xmlns:a16="http://schemas.microsoft.com/office/drawing/2014/main" id="{00000000-0008-0000-0E00-00006C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364</xdr:row>
      <xdr:rowOff>0</xdr:rowOff>
    </xdr:from>
    <xdr:ext cx="381000" cy="381000"/>
    <xdr:pic>
      <xdr:nvPicPr>
        <xdr:cNvPr id="365" name="image67.jpg">
          <a:extLst>
            <a:ext uri="{FF2B5EF4-FFF2-40B4-BE49-F238E27FC236}">
              <a16:creationId xmlns:a16="http://schemas.microsoft.com/office/drawing/2014/main" id="{00000000-0008-0000-0E00-00006D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365</xdr:row>
      <xdr:rowOff>0</xdr:rowOff>
    </xdr:from>
    <xdr:ext cx="381000" cy="381000"/>
    <xdr:pic>
      <xdr:nvPicPr>
        <xdr:cNvPr id="366" name="image67.jpg">
          <a:extLst>
            <a:ext uri="{FF2B5EF4-FFF2-40B4-BE49-F238E27FC236}">
              <a16:creationId xmlns:a16="http://schemas.microsoft.com/office/drawing/2014/main" id="{00000000-0008-0000-0E00-00006E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366</xdr:row>
      <xdr:rowOff>0</xdr:rowOff>
    </xdr:from>
    <xdr:ext cx="381000" cy="381000"/>
    <xdr:pic>
      <xdr:nvPicPr>
        <xdr:cNvPr id="367" name="image67.jpg">
          <a:extLst>
            <a:ext uri="{FF2B5EF4-FFF2-40B4-BE49-F238E27FC236}">
              <a16:creationId xmlns:a16="http://schemas.microsoft.com/office/drawing/2014/main" id="{00000000-0008-0000-0E00-00006F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367</xdr:row>
      <xdr:rowOff>0</xdr:rowOff>
    </xdr:from>
    <xdr:ext cx="381000" cy="381000"/>
    <xdr:pic>
      <xdr:nvPicPr>
        <xdr:cNvPr id="368" name="image67.jpg">
          <a:extLst>
            <a:ext uri="{FF2B5EF4-FFF2-40B4-BE49-F238E27FC236}">
              <a16:creationId xmlns:a16="http://schemas.microsoft.com/office/drawing/2014/main" id="{00000000-0008-0000-0E00-000070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368</xdr:row>
      <xdr:rowOff>0</xdr:rowOff>
    </xdr:from>
    <xdr:ext cx="381000" cy="381000"/>
    <xdr:pic>
      <xdr:nvPicPr>
        <xdr:cNvPr id="369" name="image67.jpg">
          <a:extLst>
            <a:ext uri="{FF2B5EF4-FFF2-40B4-BE49-F238E27FC236}">
              <a16:creationId xmlns:a16="http://schemas.microsoft.com/office/drawing/2014/main" id="{00000000-0008-0000-0E00-000071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369</xdr:row>
      <xdr:rowOff>0</xdr:rowOff>
    </xdr:from>
    <xdr:ext cx="381000" cy="381000"/>
    <xdr:pic>
      <xdr:nvPicPr>
        <xdr:cNvPr id="370" name="image67.jpg">
          <a:extLst>
            <a:ext uri="{FF2B5EF4-FFF2-40B4-BE49-F238E27FC236}">
              <a16:creationId xmlns:a16="http://schemas.microsoft.com/office/drawing/2014/main" id="{00000000-0008-0000-0E00-000072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370</xdr:row>
      <xdr:rowOff>0</xdr:rowOff>
    </xdr:from>
    <xdr:ext cx="381000" cy="381000"/>
    <xdr:pic>
      <xdr:nvPicPr>
        <xdr:cNvPr id="371" name="image67.jpg">
          <a:extLst>
            <a:ext uri="{FF2B5EF4-FFF2-40B4-BE49-F238E27FC236}">
              <a16:creationId xmlns:a16="http://schemas.microsoft.com/office/drawing/2014/main" id="{00000000-0008-0000-0E00-000073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371</xdr:row>
      <xdr:rowOff>0</xdr:rowOff>
    </xdr:from>
    <xdr:ext cx="381000" cy="381000"/>
    <xdr:pic>
      <xdr:nvPicPr>
        <xdr:cNvPr id="372" name="image67.jpg">
          <a:extLst>
            <a:ext uri="{FF2B5EF4-FFF2-40B4-BE49-F238E27FC236}">
              <a16:creationId xmlns:a16="http://schemas.microsoft.com/office/drawing/2014/main" id="{00000000-0008-0000-0E00-000074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372</xdr:row>
      <xdr:rowOff>0</xdr:rowOff>
    </xdr:from>
    <xdr:ext cx="381000" cy="381000"/>
    <xdr:pic>
      <xdr:nvPicPr>
        <xdr:cNvPr id="373" name="image124.jpg">
          <a:extLst>
            <a:ext uri="{FF2B5EF4-FFF2-40B4-BE49-F238E27FC236}">
              <a16:creationId xmlns:a16="http://schemas.microsoft.com/office/drawing/2014/main" id="{00000000-0008-0000-0E00-000075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373</xdr:row>
      <xdr:rowOff>0</xdr:rowOff>
    </xdr:from>
    <xdr:ext cx="381000" cy="381000"/>
    <xdr:pic>
      <xdr:nvPicPr>
        <xdr:cNvPr id="374" name="image124.jpg">
          <a:extLst>
            <a:ext uri="{FF2B5EF4-FFF2-40B4-BE49-F238E27FC236}">
              <a16:creationId xmlns:a16="http://schemas.microsoft.com/office/drawing/2014/main" id="{00000000-0008-0000-0E00-000076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374</xdr:row>
      <xdr:rowOff>0</xdr:rowOff>
    </xdr:from>
    <xdr:ext cx="381000" cy="381000"/>
    <xdr:pic>
      <xdr:nvPicPr>
        <xdr:cNvPr id="375" name="image124.jpg">
          <a:extLst>
            <a:ext uri="{FF2B5EF4-FFF2-40B4-BE49-F238E27FC236}">
              <a16:creationId xmlns:a16="http://schemas.microsoft.com/office/drawing/2014/main" id="{00000000-0008-0000-0E00-000077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375</xdr:row>
      <xdr:rowOff>0</xdr:rowOff>
    </xdr:from>
    <xdr:ext cx="381000" cy="381000"/>
    <xdr:pic>
      <xdr:nvPicPr>
        <xdr:cNvPr id="376" name="image124.jpg">
          <a:extLst>
            <a:ext uri="{FF2B5EF4-FFF2-40B4-BE49-F238E27FC236}">
              <a16:creationId xmlns:a16="http://schemas.microsoft.com/office/drawing/2014/main" id="{00000000-0008-0000-0E00-000078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376</xdr:row>
      <xdr:rowOff>0</xdr:rowOff>
    </xdr:from>
    <xdr:ext cx="381000" cy="381000"/>
    <xdr:pic>
      <xdr:nvPicPr>
        <xdr:cNvPr id="377" name="image110.jpg">
          <a:extLst>
            <a:ext uri="{FF2B5EF4-FFF2-40B4-BE49-F238E27FC236}">
              <a16:creationId xmlns:a16="http://schemas.microsoft.com/office/drawing/2014/main" id="{00000000-0008-0000-0E00-00007901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377</xdr:row>
      <xdr:rowOff>0</xdr:rowOff>
    </xdr:from>
    <xdr:ext cx="381000" cy="381000"/>
    <xdr:pic>
      <xdr:nvPicPr>
        <xdr:cNvPr id="378" name="image110.jpg">
          <a:extLst>
            <a:ext uri="{FF2B5EF4-FFF2-40B4-BE49-F238E27FC236}">
              <a16:creationId xmlns:a16="http://schemas.microsoft.com/office/drawing/2014/main" id="{00000000-0008-0000-0E00-00007A01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378</xdr:row>
      <xdr:rowOff>0</xdr:rowOff>
    </xdr:from>
    <xdr:ext cx="381000" cy="381000"/>
    <xdr:pic>
      <xdr:nvPicPr>
        <xdr:cNvPr id="379" name="image110.jpg">
          <a:extLst>
            <a:ext uri="{FF2B5EF4-FFF2-40B4-BE49-F238E27FC236}">
              <a16:creationId xmlns:a16="http://schemas.microsoft.com/office/drawing/2014/main" id="{00000000-0008-0000-0E00-00007B01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379</xdr:row>
      <xdr:rowOff>0</xdr:rowOff>
    </xdr:from>
    <xdr:ext cx="381000" cy="381000"/>
    <xdr:pic>
      <xdr:nvPicPr>
        <xdr:cNvPr id="380" name="image110.jpg">
          <a:extLst>
            <a:ext uri="{FF2B5EF4-FFF2-40B4-BE49-F238E27FC236}">
              <a16:creationId xmlns:a16="http://schemas.microsoft.com/office/drawing/2014/main" id="{00000000-0008-0000-0E00-00007C01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380</xdr:row>
      <xdr:rowOff>0</xdr:rowOff>
    </xdr:from>
    <xdr:ext cx="381000" cy="381000"/>
    <xdr:pic>
      <xdr:nvPicPr>
        <xdr:cNvPr id="381" name="image110.jpg">
          <a:extLst>
            <a:ext uri="{FF2B5EF4-FFF2-40B4-BE49-F238E27FC236}">
              <a16:creationId xmlns:a16="http://schemas.microsoft.com/office/drawing/2014/main" id="{00000000-0008-0000-0E00-00007D01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381</xdr:row>
      <xdr:rowOff>0</xdr:rowOff>
    </xdr:from>
    <xdr:ext cx="381000" cy="381000"/>
    <xdr:pic>
      <xdr:nvPicPr>
        <xdr:cNvPr id="382" name="image110.jpg">
          <a:extLst>
            <a:ext uri="{FF2B5EF4-FFF2-40B4-BE49-F238E27FC236}">
              <a16:creationId xmlns:a16="http://schemas.microsoft.com/office/drawing/2014/main" id="{00000000-0008-0000-0E00-00007E01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382</xdr:row>
      <xdr:rowOff>0</xdr:rowOff>
    </xdr:from>
    <xdr:ext cx="381000" cy="381000"/>
    <xdr:pic>
      <xdr:nvPicPr>
        <xdr:cNvPr id="383" name="image110.jpg">
          <a:extLst>
            <a:ext uri="{FF2B5EF4-FFF2-40B4-BE49-F238E27FC236}">
              <a16:creationId xmlns:a16="http://schemas.microsoft.com/office/drawing/2014/main" id="{00000000-0008-0000-0E00-00007F01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383</xdr:row>
      <xdr:rowOff>0</xdr:rowOff>
    </xdr:from>
    <xdr:ext cx="381000" cy="381000"/>
    <xdr:pic>
      <xdr:nvPicPr>
        <xdr:cNvPr id="384" name="image110.jpg">
          <a:extLst>
            <a:ext uri="{FF2B5EF4-FFF2-40B4-BE49-F238E27FC236}">
              <a16:creationId xmlns:a16="http://schemas.microsoft.com/office/drawing/2014/main" id="{00000000-0008-0000-0E00-00008001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384</xdr:row>
      <xdr:rowOff>0</xdr:rowOff>
    </xdr:from>
    <xdr:ext cx="381000" cy="381000"/>
    <xdr:pic>
      <xdr:nvPicPr>
        <xdr:cNvPr id="385" name="image119.png">
          <a:extLst>
            <a:ext uri="{FF2B5EF4-FFF2-40B4-BE49-F238E27FC236}">
              <a16:creationId xmlns:a16="http://schemas.microsoft.com/office/drawing/2014/main" id="{00000000-0008-0000-0E00-00008101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0</xdr:colOff>
      <xdr:row>385</xdr:row>
      <xdr:rowOff>0</xdr:rowOff>
    </xdr:from>
    <xdr:ext cx="381000" cy="381000"/>
    <xdr:pic>
      <xdr:nvPicPr>
        <xdr:cNvPr id="386" name="image119.png">
          <a:extLst>
            <a:ext uri="{FF2B5EF4-FFF2-40B4-BE49-F238E27FC236}">
              <a16:creationId xmlns:a16="http://schemas.microsoft.com/office/drawing/2014/main" id="{00000000-0008-0000-0E00-00008201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0</xdr:colOff>
      <xdr:row>386</xdr:row>
      <xdr:rowOff>0</xdr:rowOff>
    </xdr:from>
    <xdr:ext cx="371475" cy="381000"/>
    <xdr:pic>
      <xdr:nvPicPr>
        <xdr:cNvPr id="387" name="image150.png">
          <a:extLst>
            <a:ext uri="{FF2B5EF4-FFF2-40B4-BE49-F238E27FC236}">
              <a16:creationId xmlns:a16="http://schemas.microsoft.com/office/drawing/2014/main" id="{00000000-0008-0000-0E00-000083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0</xdr:colOff>
      <xdr:row>387</xdr:row>
      <xdr:rowOff>0</xdr:rowOff>
    </xdr:from>
    <xdr:ext cx="371475" cy="381000"/>
    <xdr:pic>
      <xdr:nvPicPr>
        <xdr:cNvPr id="388" name="image150.png">
          <a:extLst>
            <a:ext uri="{FF2B5EF4-FFF2-40B4-BE49-F238E27FC236}">
              <a16:creationId xmlns:a16="http://schemas.microsoft.com/office/drawing/2014/main" id="{00000000-0008-0000-0E00-000084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0</xdr:colOff>
      <xdr:row>388</xdr:row>
      <xdr:rowOff>0</xdr:rowOff>
    </xdr:from>
    <xdr:ext cx="381000" cy="381000"/>
    <xdr:pic>
      <xdr:nvPicPr>
        <xdr:cNvPr id="389" name="image27.jpg">
          <a:extLst>
            <a:ext uri="{FF2B5EF4-FFF2-40B4-BE49-F238E27FC236}">
              <a16:creationId xmlns:a16="http://schemas.microsoft.com/office/drawing/2014/main" id="{00000000-0008-0000-0E00-000085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389</xdr:row>
      <xdr:rowOff>0</xdr:rowOff>
    </xdr:from>
    <xdr:ext cx="381000" cy="381000"/>
    <xdr:pic>
      <xdr:nvPicPr>
        <xdr:cNvPr id="390" name="image27.jpg">
          <a:extLst>
            <a:ext uri="{FF2B5EF4-FFF2-40B4-BE49-F238E27FC236}">
              <a16:creationId xmlns:a16="http://schemas.microsoft.com/office/drawing/2014/main" id="{00000000-0008-0000-0E00-000086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390</xdr:row>
      <xdr:rowOff>0</xdr:rowOff>
    </xdr:from>
    <xdr:ext cx="381000" cy="381000"/>
    <xdr:pic>
      <xdr:nvPicPr>
        <xdr:cNvPr id="391" name="image27.jpg">
          <a:extLst>
            <a:ext uri="{FF2B5EF4-FFF2-40B4-BE49-F238E27FC236}">
              <a16:creationId xmlns:a16="http://schemas.microsoft.com/office/drawing/2014/main" id="{00000000-0008-0000-0E00-000087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391</xdr:row>
      <xdr:rowOff>0</xdr:rowOff>
    </xdr:from>
    <xdr:ext cx="381000" cy="381000"/>
    <xdr:pic>
      <xdr:nvPicPr>
        <xdr:cNvPr id="392" name="image27.jpg">
          <a:extLst>
            <a:ext uri="{FF2B5EF4-FFF2-40B4-BE49-F238E27FC236}">
              <a16:creationId xmlns:a16="http://schemas.microsoft.com/office/drawing/2014/main" id="{00000000-0008-0000-0E00-000088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392</xdr:row>
      <xdr:rowOff>0</xdr:rowOff>
    </xdr:from>
    <xdr:ext cx="381000" cy="381000"/>
    <xdr:pic>
      <xdr:nvPicPr>
        <xdr:cNvPr id="393" name="image27.jpg">
          <a:extLst>
            <a:ext uri="{FF2B5EF4-FFF2-40B4-BE49-F238E27FC236}">
              <a16:creationId xmlns:a16="http://schemas.microsoft.com/office/drawing/2014/main" id="{00000000-0008-0000-0E00-000089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393</xdr:row>
      <xdr:rowOff>0</xdr:rowOff>
    </xdr:from>
    <xdr:ext cx="381000" cy="381000"/>
    <xdr:pic>
      <xdr:nvPicPr>
        <xdr:cNvPr id="394" name="image27.jpg">
          <a:extLst>
            <a:ext uri="{FF2B5EF4-FFF2-40B4-BE49-F238E27FC236}">
              <a16:creationId xmlns:a16="http://schemas.microsoft.com/office/drawing/2014/main" id="{00000000-0008-0000-0E00-00008A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394</xdr:row>
      <xdr:rowOff>0</xdr:rowOff>
    </xdr:from>
    <xdr:ext cx="381000" cy="381000"/>
    <xdr:pic>
      <xdr:nvPicPr>
        <xdr:cNvPr id="395" name="image27.jpg">
          <a:extLst>
            <a:ext uri="{FF2B5EF4-FFF2-40B4-BE49-F238E27FC236}">
              <a16:creationId xmlns:a16="http://schemas.microsoft.com/office/drawing/2014/main" id="{00000000-0008-0000-0E00-00008B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395</xdr:row>
      <xdr:rowOff>0</xdr:rowOff>
    </xdr:from>
    <xdr:ext cx="381000" cy="381000"/>
    <xdr:pic>
      <xdr:nvPicPr>
        <xdr:cNvPr id="396" name="image27.jpg">
          <a:extLst>
            <a:ext uri="{FF2B5EF4-FFF2-40B4-BE49-F238E27FC236}">
              <a16:creationId xmlns:a16="http://schemas.microsoft.com/office/drawing/2014/main" id="{00000000-0008-0000-0E00-00008C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396</xdr:row>
      <xdr:rowOff>0</xdr:rowOff>
    </xdr:from>
    <xdr:ext cx="381000" cy="381000"/>
    <xdr:pic>
      <xdr:nvPicPr>
        <xdr:cNvPr id="397" name="image27.jpg">
          <a:extLst>
            <a:ext uri="{FF2B5EF4-FFF2-40B4-BE49-F238E27FC236}">
              <a16:creationId xmlns:a16="http://schemas.microsoft.com/office/drawing/2014/main" id="{00000000-0008-0000-0E00-00008D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397</xdr:row>
      <xdr:rowOff>0</xdr:rowOff>
    </xdr:from>
    <xdr:ext cx="381000" cy="381000"/>
    <xdr:pic>
      <xdr:nvPicPr>
        <xdr:cNvPr id="398" name="image27.jpg">
          <a:extLst>
            <a:ext uri="{FF2B5EF4-FFF2-40B4-BE49-F238E27FC236}">
              <a16:creationId xmlns:a16="http://schemas.microsoft.com/office/drawing/2014/main" id="{00000000-0008-0000-0E00-00008E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398</xdr:row>
      <xdr:rowOff>0</xdr:rowOff>
    </xdr:from>
    <xdr:ext cx="381000" cy="381000"/>
    <xdr:pic>
      <xdr:nvPicPr>
        <xdr:cNvPr id="399" name="image154.png">
          <a:extLst>
            <a:ext uri="{FF2B5EF4-FFF2-40B4-BE49-F238E27FC236}">
              <a16:creationId xmlns:a16="http://schemas.microsoft.com/office/drawing/2014/main" id="{00000000-0008-0000-0E00-00008F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399</xdr:row>
      <xdr:rowOff>0</xdr:rowOff>
    </xdr:from>
    <xdr:ext cx="381000" cy="381000"/>
    <xdr:pic>
      <xdr:nvPicPr>
        <xdr:cNvPr id="400" name="image154.png">
          <a:extLst>
            <a:ext uri="{FF2B5EF4-FFF2-40B4-BE49-F238E27FC236}">
              <a16:creationId xmlns:a16="http://schemas.microsoft.com/office/drawing/2014/main" id="{00000000-0008-0000-0E00-000090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400</xdr:row>
      <xdr:rowOff>0</xdr:rowOff>
    </xdr:from>
    <xdr:ext cx="381000" cy="381000"/>
    <xdr:pic>
      <xdr:nvPicPr>
        <xdr:cNvPr id="401" name="image154.png">
          <a:extLst>
            <a:ext uri="{FF2B5EF4-FFF2-40B4-BE49-F238E27FC236}">
              <a16:creationId xmlns:a16="http://schemas.microsoft.com/office/drawing/2014/main" id="{00000000-0008-0000-0E00-000091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401</xdr:row>
      <xdr:rowOff>0</xdr:rowOff>
    </xdr:from>
    <xdr:ext cx="381000" cy="381000"/>
    <xdr:pic>
      <xdr:nvPicPr>
        <xdr:cNvPr id="402" name="image154.png">
          <a:extLst>
            <a:ext uri="{FF2B5EF4-FFF2-40B4-BE49-F238E27FC236}">
              <a16:creationId xmlns:a16="http://schemas.microsoft.com/office/drawing/2014/main" id="{00000000-0008-0000-0E00-000092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402</xdr:row>
      <xdr:rowOff>0</xdr:rowOff>
    </xdr:from>
    <xdr:ext cx="381000" cy="381000"/>
    <xdr:pic>
      <xdr:nvPicPr>
        <xdr:cNvPr id="403" name="image83.jpg">
          <a:extLst>
            <a:ext uri="{FF2B5EF4-FFF2-40B4-BE49-F238E27FC236}">
              <a16:creationId xmlns:a16="http://schemas.microsoft.com/office/drawing/2014/main" id="{00000000-0008-0000-0E00-00009301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0</xdr:colOff>
      <xdr:row>403</xdr:row>
      <xdr:rowOff>0</xdr:rowOff>
    </xdr:from>
    <xdr:ext cx="381000" cy="381000"/>
    <xdr:pic>
      <xdr:nvPicPr>
        <xdr:cNvPr id="404" name="image83.jpg">
          <a:extLst>
            <a:ext uri="{FF2B5EF4-FFF2-40B4-BE49-F238E27FC236}">
              <a16:creationId xmlns:a16="http://schemas.microsoft.com/office/drawing/2014/main" id="{00000000-0008-0000-0E00-00009401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0</xdr:colOff>
      <xdr:row>404</xdr:row>
      <xdr:rowOff>0</xdr:rowOff>
    </xdr:from>
    <xdr:ext cx="381000" cy="381000"/>
    <xdr:pic>
      <xdr:nvPicPr>
        <xdr:cNvPr id="405" name="image79.jpg">
          <a:extLst>
            <a:ext uri="{FF2B5EF4-FFF2-40B4-BE49-F238E27FC236}">
              <a16:creationId xmlns:a16="http://schemas.microsoft.com/office/drawing/2014/main" id="{00000000-0008-0000-0E00-00009501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0</xdr:colOff>
      <xdr:row>405</xdr:row>
      <xdr:rowOff>0</xdr:rowOff>
    </xdr:from>
    <xdr:ext cx="381000" cy="381000"/>
    <xdr:pic>
      <xdr:nvPicPr>
        <xdr:cNvPr id="406" name="image79.jpg">
          <a:extLst>
            <a:ext uri="{FF2B5EF4-FFF2-40B4-BE49-F238E27FC236}">
              <a16:creationId xmlns:a16="http://schemas.microsoft.com/office/drawing/2014/main" id="{00000000-0008-0000-0E00-00009601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0</xdr:colOff>
      <xdr:row>406</xdr:row>
      <xdr:rowOff>0</xdr:rowOff>
    </xdr:from>
    <xdr:ext cx="381000" cy="381000"/>
    <xdr:pic>
      <xdr:nvPicPr>
        <xdr:cNvPr id="407" name="image238.jpg">
          <a:extLst>
            <a:ext uri="{FF2B5EF4-FFF2-40B4-BE49-F238E27FC236}">
              <a16:creationId xmlns:a16="http://schemas.microsoft.com/office/drawing/2014/main" id="{00000000-0008-0000-0E00-000097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407</xdr:row>
      <xdr:rowOff>0</xdr:rowOff>
    </xdr:from>
    <xdr:ext cx="381000" cy="381000"/>
    <xdr:pic>
      <xdr:nvPicPr>
        <xdr:cNvPr id="408" name="image238.jpg">
          <a:extLst>
            <a:ext uri="{FF2B5EF4-FFF2-40B4-BE49-F238E27FC236}">
              <a16:creationId xmlns:a16="http://schemas.microsoft.com/office/drawing/2014/main" id="{00000000-0008-0000-0E00-000098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408</xdr:row>
      <xdr:rowOff>0</xdr:rowOff>
    </xdr:from>
    <xdr:ext cx="381000" cy="381000"/>
    <xdr:pic>
      <xdr:nvPicPr>
        <xdr:cNvPr id="409" name="image238.jpg">
          <a:extLst>
            <a:ext uri="{FF2B5EF4-FFF2-40B4-BE49-F238E27FC236}">
              <a16:creationId xmlns:a16="http://schemas.microsoft.com/office/drawing/2014/main" id="{00000000-0008-0000-0E00-000099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409</xdr:row>
      <xdr:rowOff>0</xdr:rowOff>
    </xdr:from>
    <xdr:ext cx="381000" cy="381000"/>
    <xdr:pic>
      <xdr:nvPicPr>
        <xdr:cNvPr id="410" name="image238.jpg">
          <a:extLst>
            <a:ext uri="{FF2B5EF4-FFF2-40B4-BE49-F238E27FC236}">
              <a16:creationId xmlns:a16="http://schemas.microsoft.com/office/drawing/2014/main" id="{00000000-0008-0000-0E00-00009A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410</xdr:row>
      <xdr:rowOff>0</xdr:rowOff>
    </xdr:from>
    <xdr:ext cx="381000" cy="381000"/>
    <xdr:pic>
      <xdr:nvPicPr>
        <xdr:cNvPr id="411" name="image238.jpg">
          <a:extLst>
            <a:ext uri="{FF2B5EF4-FFF2-40B4-BE49-F238E27FC236}">
              <a16:creationId xmlns:a16="http://schemas.microsoft.com/office/drawing/2014/main" id="{00000000-0008-0000-0E00-00009B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411</xdr:row>
      <xdr:rowOff>0</xdr:rowOff>
    </xdr:from>
    <xdr:ext cx="381000" cy="381000"/>
    <xdr:pic>
      <xdr:nvPicPr>
        <xdr:cNvPr id="412" name="image238.jpg">
          <a:extLst>
            <a:ext uri="{FF2B5EF4-FFF2-40B4-BE49-F238E27FC236}">
              <a16:creationId xmlns:a16="http://schemas.microsoft.com/office/drawing/2014/main" id="{00000000-0008-0000-0E00-00009C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412</xdr:row>
      <xdr:rowOff>0</xdr:rowOff>
    </xdr:from>
    <xdr:ext cx="381000" cy="381000"/>
    <xdr:pic>
      <xdr:nvPicPr>
        <xdr:cNvPr id="413" name="image238.jpg">
          <a:extLst>
            <a:ext uri="{FF2B5EF4-FFF2-40B4-BE49-F238E27FC236}">
              <a16:creationId xmlns:a16="http://schemas.microsoft.com/office/drawing/2014/main" id="{00000000-0008-0000-0E00-00009D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413</xdr:row>
      <xdr:rowOff>0</xdr:rowOff>
    </xdr:from>
    <xdr:ext cx="381000" cy="381000"/>
    <xdr:pic>
      <xdr:nvPicPr>
        <xdr:cNvPr id="414" name="image238.jpg">
          <a:extLst>
            <a:ext uri="{FF2B5EF4-FFF2-40B4-BE49-F238E27FC236}">
              <a16:creationId xmlns:a16="http://schemas.microsoft.com/office/drawing/2014/main" id="{00000000-0008-0000-0E00-00009E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414</xdr:row>
      <xdr:rowOff>0</xdr:rowOff>
    </xdr:from>
    <xdr:ext cx="381000" cy="381000"/>
    <xdr:pic>
      <xdr:nvPicPr>
        <xdr:cNvPr id="415" name="image238.jpg">
          <a:extLst>
            <a:ext uri="{FF2B5EF4-FFF2-40B4-BE49-F238E27FC236}">
              <a16:creationId xmlns:a16="http://schemas.microsoft.com/office/drawing/2014/main" id="{00000000-0008-0000-0E00-00009F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415</xdr:row>
      <xdr:rowOff>0</xdr:rowOff>
    </xdr:from>
    <xdr:ext cx="381000" cy="381000"/>
    <xdr:pic>
      <xdr:nvPicPr>
        <xdr:cNvPr id="416" name="image238.jpg">
          <a:extLst>
            <a:ext uri="{FF2B5EF4-FFF2-40B4-BE49-F238E27FC236}">
              <a16:creationId xmlns:a16="http://schemas.microsoft.com/office/drawing/2014/main" id="{00000000-0008-0000-0E00-0000A0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416</xdr:row>
      <xdr:rowOff>0</xdr:rowOff>
    </xdr:from>
    <xdr:ext cx="381000" cy="381000"/>
    <xdr:pic>
      <xdr:nvPicPr>
        <xdr:cNvPr id="417" name="image238.jpg">
          <a:extLst>
            <a:ext uri="{FF2B5EF4-FFF2-40B4-BE49-F238E27FC236}">
              <a16:creationId xmlns:a16="http://schemas.microsoft.com/office/drawing/2014/main" id="{00000000-0008-0000-0E00-0000A1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417</xdr:row>
      <xdr:rowOff>0</xdr:rowOff>
    </xdr:from>
    <xdr:ext cx="381000" cy="381000"/>
    <xdr:pic>
      <xdr:nvPicPr>
        <xdr:cNvPr id="418" name="image238.jpg">
          <a:extLst>
            <a:ext uri="{FF2B5EF4-FFF2-40B4-BE49-F238E27FC236}">
              <a16:creationId xmlns:a16="http://schemas.microsoft.com/office/drawing/2014/main" id="{00000000-0008-0000-0E00-0000A2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418</xdr:row>
      <xdr:rowOff>0</xdr:rowOff>
    </xdr:from>
    <xdr:ext cx="381000" cy="381000"/>
    <xdr:pic>
      <xdr:nvPicPr>
        <xdr:cNvPr id="419" name="image238.jpg">
          <a:extLst>
            <a:ext uri="{FF2B5EF4-FFF2-40B4-BE49-F238E27FC236}">
              <a16:creationId xmlns:a16="http://schemas.microsoft.com/office/drawing/2014/main" id="{00000000-0008-0000-0E00-0000A3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419</xdr:row>
      <xdr:rowOff>0</xdr:rowOff>
    </xdr:from>
    <xdr:ext cx="381000" cy="381000"/>
    <xdr:pic>
      <xdr:nvPicPr>
        <xdr:cNvPr id="420" name="image238.jpg">
          <a:extLst>
            <a:ext uri="{FF2B5EF4-FFF2-40B4-BE49-F238E27FC236}">
              <a16:creationId xmlns:a16="http://schemas.microsoft.com/office/drawing/2014/main" id="{00000000-0008-0000-0E00-0000A4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420</xdr:row>
      <xdr:rowOff>0</xdr:rowOff>
    </xdr:from>
    <xdr:ext cx="381000" cy="381000"/>
    <xdr:pic>
      <xdr:nvPicPr>
        <xdr:cNvPr id="421" name="image238.jpg">
          <a:extLst>
            <a:ext uri="{FF2B5EF4-FFF2-40B4-BE49-F238E27FC236}">
              <a16:creationId xmlns:a16="http://schemas.microsoft.com/office/drawing/2014/main" id="{00000000-0008-0000-0E00-0000A5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421</xdr:row>
      <xdr:rowOff>0</xdr:rowOff>
    </xdr:from>
    <xdr:ext cx="381000" cy="381000"/>
    <xdr:pic>
      <xdr:nvPicPr>
        <xdr:cNvPr id="422" name="image238.jpg">
          <a:extLst>
            <a:ext uri="{FF2B5EF4-FFF2-40B4-BE49-F238E27FC236}">
              <a16:creationId xmlns:a16="http://schemas.microsoft.com/office/drawing/2014/main" id="{00000000-0008-0000-0E00-0000A6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422</xdr:row>
      <xdr:rowOff>0</xdr:rowOff>
    </xdr:from>
    <xdr:ext cx="381000" cy="381000"/>
    <xdr:pic>
      <xdr:nvPicPr>
        <xdr:cNvPr id="423" name="image238.jpg">
          <a:extLst>
            <a:ext uri="{FF2B5EF4-FFF2-40B4-BE49-F238E27FC236}">
              <a16:creationId xmlns:a16="http://schemas.microsoft.com/office/drawing/2014/main" id="{00000000-0008-0000-0E00-0000A7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423</xdr:row>
      <xdr:rowOff>0</xdr:rowOff>
    </xdr:from>
    <xdr:ext cx="381000" cy="381000"/>
    <xdr:pic>
      <xdr:nvPicPr>
        <xdr:cNvPr id="424" name="image238.jpg">
          <a:extLst>
            <a:ext uri="{FF2B5EF4-FFF2-40B4-BE49-F238E27FC236}">
              <a16:creationId xmlns:a16="http://schemas.microsoft.com/office/drawing/2014/main" id="{00000000-0008-0000-0E00-0000A8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424</xdr:row>
      <xdr:rowOff>0</xdr:rowOff>
    </xdr:from>
    <xdr:ext cx="381000" cy="381000"/>
    <xdr:pic>
      <xdr:nvPicPr>
        <xdr:cNvPr id="425" name="image238.jpg">
          <a:extLst>
            <a:ext uri="{FF2B5EF4-FFF2-40B4-BE49-F238E27FC236}">
              <a16:creationId xmlns:a16="http://schemas.microsoft.com/office/drawing/2014/main" id="{00000000-0008-0000-0E00-0000A9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425</xdr:row>
      <xdr:rowOff>0</xdr:rowOff>
    </xdr:from>
    <xdr:ext cx="381000" cy="381000"/>
    <xdr:pic>
      <xdr:nvPicPr>
        <xdr:cNvPr id="426" name="image59.jpg">
          <a:extLst>
            <a:ext uri="{FF2B5EF4-FFF2-40B4-BE49-F238E27FC236}">
              <a16:creationId xmlns:a16="http://schemas.microsoft.com/office/drawing/2014/main" id="{00000000-0008-0000-0E00-0000AA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426</xdr:row>
      <xdr:rowOff>0</xdr:rowOff>
    </xdr:from>
    <xdr:ext cx="381000" cy="381000"/>
    <xdr:pic>
      <xdr:nvPicPr>
        <xdr:cNvPr id="427" name="image59.jpg">
          <a:extLst>
            <a:ext uri="{FF2B5EF4-FFF2-40B4-BE49-F238E27FC236}">
              <a16:creationId xmlns:a16="http://schemas.microsoft.com/office/drawing/2014/main" id="{00000000-0008-0000-0E00-0000AB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427</xdr:row>
      <xdr:rowOff>0</xdr:rowOff>
    </xdr:from>
    <xdr:ext cx="381000" cy="381000"/>
    <xdr:pic>
      <xdr:nvPicPr>
        <xdr:cNvPr id="428" name="image59.jpg">
          <a:extLst>
            <a:ext uri="{FF2B5EF4-FFF2-40B4-BE49-F238E27FC236}">
              <a16:creationId xmlns:a16="http://schemas.microsoft.com/office/drawing/2014/main" id="{00000000-0008-0000-0E00-0000AC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428</xdr:row>
      <xdr:rowOff>0</xdr:rowOff>
    </xdr:from>
    <xdr:ext cx="381000" cy="381000"/>
    <xdr:pic>
      <xdr:nvPicPr>
        <xdr:cNvPr id="429" name="image59.jpg">
          <a:extLst>
            <a:ext uri="{FF2B5EF4-FFF2-40B4-BE49-F238E27FC236}">
              <a16:creationId xmlns:a16="http://schemas.microsoft.com/office/drawing/2014/main" id="{00000000-0008-0000-0E00-0000AD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429</xdr:row>
      <xdr:rowOff>0</xdr:rowOff>
    </xdr:from>
    <xdr:ext cx="381000" cy="381000"/>
    <xdr:pic>
      <xdr:nvPicPr>
        <xdr:cNvPr id="430" name="image59.jpg">
          <a:extLst>
            <a:ext uri="{FF2B5EF4-FFF2-40B4-BE49-F238E27FC236}">
              <a16:creationId xmlns:a16="http://schemas.microsoft.com/office/drawing/2014/main" id="{00000000-0008-0000-0E00-0000AE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430</xdr:row>
      <xdr:rowOff>0</xdr:rowOff>
    </xdr:from>
    <xdr:ext cx="381000" cy="381000"/>
    <xdr:pic>
      <xdr:nvPicPr>
        <xdr:cNvPr id="431" name="image59.jpg">
          <a:extLst>
            <a:ext uri="{FF2B5EF4-FFF2-40B4-BE49-F238E27FC236}">
              <a16:creationId xmlns:a16="http://schemas.microsoft.com/office/drawing/2014/main" id="{00000000-0008-0000-0E00-0000AF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431</xdr:row>
      <xdr:rowOff>0</xdr:rowOff>
    </xdr:from>
    <xdr:ext cx="381000" cy="381000"/>
    <xdr:pic>
      <xdr:nvPicPr>
        <xdr:cNvPr id="432" name="image59.jpg">
          <a:extLst>
            <a:ext uri="{FF2B5EF4-FFF2-40B4-BE49-F238E27FC236}">
              <a16:creationId xmlns:a16="http://schemas.microsoft.com/office/drawing/2014/main" id="{00000000-0008-0000-0E00-0000B0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432</xdr:row>
      <xdr:rowOff>0</xdr:rowOff>
    </xdr:from>
    <xdr:ext cx="381000" cy="381000"/>
    <xdr:pic>
      <xdr:nvPicPr>
        <xdr:cNvPr id="433" name="image59.jpg">
          <a:extLst>
            <a:ext uri="{FF2B5EF4-FFF2-40B4-BE49-F238E27FC236}">
              <a16:creationId xmlns:a16="http://schemas.microsoft.com/office/drawing/2014/main" id="{00000000-0008-0000-0E00-0000B1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433</xdr:row>
      <xdr:rowOff>0</xdr:rowOff>
    </xdr:from>
    <xdr:ext cx="381000" cy="381000"/>
    <xdr:pic>
      <xdr:nvPicPr>
        <xdr:cNvPr id="434" name="image59.jpg">
          <a:extLst>
            <a:ext uri="{FF2B5EF4-FFF2-40B4-BE49-F238E27FC236}">
              <a16:creationId xmlns:a16="http://schemas.microsoft.com/office/drawing/2014/main" id="{00000000-0008-0000-0E00-0000B2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434</xdr:row>
      <xdr:rowOff>0</xdr:rowOff>
    </xdr:from>
    <xdr:ext cx="381000" cy="381000"/>
    <xdr:pic>
      <xdr:nvPicPr>
        <xdr:cNvPr id="435" name="image59.jpg">
          <a:extLst>
            <a:ext uri="{FF2B5EF4-FFF2-40B4-BE49-F238E27FC236}">
              <a16:creationId xmlns:a16="http://schemas.microsoft.com/office/drawing/2014/main" id="{00000000-0008-0000-0E00-0000B3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435</xdr:row>
      <xdr:rowOff>0</xdr:rowOff>
    </xdr:from>
    <xdr:ext cx="381000" cy="381000"/>
    <xdr:pic>
      <xdr:nvPicPr>
        <xdr:cNvPr id="436" name="image59.jpg">
          <a:extLst>
            <a:ext uri="{FF2B5EF4-FFF2-40B4-BE49-F238E27FC236}">
              <a16:creationId xmlns:a16="http://schemas.microsoft.com/office/drawing/2014/main" id="{00000000-0008-0000-0E00-0000B4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436</xdr:row>
      <xdr:rowOff>0</xdr:rowOff>
    </xdr:from>
    <xdr:ext cx="381000" cy="381000"/>
    <xdr:pic>
      <xdr:nvPicPr>
        <xdr:cNvPr id="437" name="image59.jpg">
          <a:extLst>
            <a:ext uri="{FF2B5EF4-FFF2-40B4-BE49-F238E27FC236}">
              <a16:creationId xmlns:a16="http://schemas.microsoft.com/office/drawing/2014/main" id="{00000000-0008-0000-0E00-0000B5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437</xdr:row>
      <xdr:rowOff>0</xdr:rowOff>
    </xdr:from>
    <xdr:ext cx="381000" cy="381000"/>
    <xdr:pic>
      <xdr:nvPicPr>
        <xdr:cNvPr id="438" name="image59.jpg">
          <a:extLst>
            <a:ext uri="{FF2B5EF4-FFF2-40B4-BE49-F238E27FC236}">
              <a16:creationId xmlns:a16="http://schemas.microsoft.com/office/drawing/2014/main" id="{00000000-0008-0000-0E00-0000B6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438</xdr:row>
      <xdr:rowOff>0</xdr:rowOff>
    </xdr:from>
    <xdr:ext cx="381000" cy="381000"/>
    <xdr:pic>
      <xdr:nvPicPr>
        <xdr:cNvPr id="439" name="image59.jpg">
          <a:extLst>
            <a:ext uri="{FF2B5EF4-FFF2-40B4-BE49-F238E27FC236}">
              <a16:creationId xmlns:a16="http://schemas.microsoft.com/office/drawing/2014/main" id="{00000000-0008-0000-0E00-0000B7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439</xdr:row>
      <xdr:rowOff>0</xdr:rowOff>
    </xdr:from>
    <xdr:ext cx="381000" cy="381000"/>
    <xdr:pic>
      <xdr:nvPicPr>
        <xdr:cNvPr id="440" name="image59.jpg">
          <a:extLst>
            <a:ext uri="{FF2B5EF4-FFF2-40B4-BE49-F238E27FC236}">
              <a16:creationId xmlns:a16="http://schemas.microsoft.com/office/drawing/2014/main" id="{00000000-0008-0000-0E00-0000B8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440</xdr:row>
      <xdr:rowOff>0</xdr:rowOff>
    </xdr:from>
    <xdr:ext cx="381000" cy="381000"/>
    <xdr:pic>
      <xdr:nvPicPr>
        <xdr:cNvPr id="441" name="image59.jpg">
          <a:extLst>
            <a:ext uri="{FF2B5EF4-FFF2-40B4-BE49-F238E27FC236}">
              <a16:creationId xmlns:a16="http://schemas.microsoft.com/office/drawing/2014/main" id="{00000000-0008-0000-0E00-0000B9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441</xdr:row>
      <xdr:rowOff>0</xdr:rowOff>
    </xdr:from>
    <xdr:ext cx="381000" cy="381000"/>
    <xdr:pic>
      <xdr:nvPicPr>
        <xdr:cNvPr id="442" name="image59.jpg">
          <a:extLst>
            <a:ext uri="{FF2B5EF4-FFF2-40B4-BE49-F238E27FC236}">
              <a16:creationId xmlns:a16="http://schemas.microsoft.com/office/drawing/2014/main" id="{00000000-0008-0000-0E00-0000BA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442</xdr:row>
      <xdr:rowOff>0</xdr:rowOff>
    </xdr:from>
    <xdr:ext cx="381000" cy="381000"/>
    <xdr:pic>
      <xdr:nvPicPr>
        <xdr:cNvPr id="443" name="image59.jpg">
          <a:extLst>
            <a:ext uri="{FF2B5EF4-FFF2-40B4-BE49-F238E27FC236}">
              <a16:creationId xmlns:a16="http://schemas.microsoft.com/office/drawing/2014/main" id="{00000000-0008-0000-0E00-0000BB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443</xdr:row>
      <xdr:rowOff>0</xdr:rowOff>
    </xdr:from>
    <xdr:ext cx="381000" cy="381000"/>
    <xdr:pic>
      <xdr:nvPicPr>
        <xdr:cNvPr id="444" name="image59.jpg">
          <a:extLst>
            <a:ext uri="{FF2B5EF4-FFF2-40B4-BE49-F238E27FC236}">
              <a16:creationId xmlns:a16="http://schemas.microsoft.com/office/drawing/2014/main" id="{00000000-0008-0000-0E00-0000BC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444</xdr:row>
      <xdr:rowOff>0</xdr:rowOff>
    </xdr:from>
    <xdr:ext cx="381000" cy="381000"/>
    <xdr:pic>
      <xdr:nvPicPr>
        <xdr:cNvPr id="445" name="image14.jpg">
          <a:extLst>
            <a:ext uri="{FF2B5EF4-FFF2-40B4-BE49-F238E27FC236}">
              <a16:creationId xmlns:a16="http://schemas.microsoft.com/office/drawing/2014/main" id="{00000000-0008-0000-0E00-0000BD01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445</xdr:row>
      <xdr:rowOff>0</xdr:rowOff>
    </xdr:from>
    <xdr:ext cx="381000" cy="381000"/>
    <xdr:pic>
      <xdr:nvPicPr>
        <xdr:cNvPr id="446" name="image14.jpg">
          <a:extLst>
            <a:ext uri="{FF2B5EF4-FFF2-40B4-BE49-F238E27FC236}">
              <a16:creationId xmlns:a16="http://schemas.microsoft.com/office/drawing/2014/main" id="{00000000-0008-0000-0E00-0000BE01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446</xdr:row>
      <xdr:rowOff>0</xdr:rowOff>
    </xdr:from>
    <xdr:ext cx="381000" cy="381000"/>
    <xdr:pic>
      <xdr:nvPicPr>
        <xdr:cNvPr id="447" name="image14.jpg">
          <a:extLst>
            <a:ext uri="{FF2B5EF4-FFF2-40B4-BE49-F238E27FC236}">
              <a16:creationId xmlns:a16="http://schemas.microsoft.com/office/drawing/2014/main" id="{00000000-0008-0000-0E00-0000BF01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447</xdr:row>
      <xdr:rowOff>0</xdr:rowOff>
    </xdr:from>
    <xdr:ext cx="381000" cy="381000"/>
    <xdr:pic>
      <xdr:nvPicPr>
        <xdr:cNvPr id="448" name="image14.jpg">
          <a:extLst>
            <a:ext uri="{FF2B5EF4-FFF2-40B4-BE49-F238E27FC236}">
              <a16:creationId xmlns:a16="http://schemas.microsoft.com/office/drawing/2014/main" id="{00000000-0008-0000-0E00-0000C001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448</xdr:row>
      <xdr:rowOff>0</xdr:rowOff>
    </xdr:from>
    <xdr:ext cx="381000" cy="381000"/>
    <xdr:pic>
      <xdr:nvPicPr>
        <xdr:cNvPr id="449" name="image14.jpg">
          <a:extLst>
            <a:ext uri="{FF2B5EF4-FFF2-40B4-BE49-F238E27FC236}">
              <a16:creationId xmlns:a16="http://schemas.microsoft.com/office/drawing/2014/main" id="{00000000-0008-0000-0E00-0000C101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449</xdr:row>
      <xdr:rowOff>0</xdr:rowOff>
    </xdr:from>
    <xdr:ext cx="381000" cy="381000"/>
    <xdr:pic>
      <xdr:nvPicPr>
        <xdr:cNvPr id="450" name="image14.jpg">
          <a:extLst>
            <a:ext uri="{FF2B5EF4-FFF2-40B4-BE49-F238E27FC236}">
              <a16:creationId xmlns:a16="http://schemas.microsoft.com/office/drawing/2014/main" id="{00000000-0008-0000-0E00-0000C201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450</xdr:row>
      <xdr:rowOff>0</xdr:rowOff>
    </xdr:from>
    <xdr:ext cx="381000" cy="381000"/>
    <xdr:pic>
      <xdr:nvPicPr>
        <xdr:cNvPr id="451" name="image14.jpg">
          <a:extLst>
            <a:ext uri="{FF2B5EF4-FFF2-40B4-BE49-F238E27FC236}">
              <a16:creationId xmlns:a16="http://schemas.microsoft.com/office/drawing/2014/main" id="{00000000-0008-0000-0E00-0000C301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451</xdr:row>
      <xdr:rowOff>0</xdr:rowOff>
    </xdr:from>
    <xdr:ext cx="381000" cy="381000"/>
    <xdr:pic>
      <xdr:nvPicPr>
        <xdr:cNvPr id="452" name="image251.png">
          <a:extLst>
            <a:ext uri="{FF2B5EF4-FFF2-40B4-BE49-F238E27FC236}">
              <a16:creationId xmlns:a16="http://schemas.microsoft.com/office/drawing/2014/main" id="{00000000-0008-0000-0E00-0000C401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452</xdr:row>
      <xdr:rowOff>0</xdr:rowOff>
    </xdr:from>
    <xdr:ext cx="381000" cy="381000"/>
    <xdr:pic>
      <xdr:nvPicPr>
        <xdr:cNvPr id="453" name="image251.png">
          <a:extLst>
            <a:ext uri="{FF2B5EF4-FFF2-40B4-BE49-F238E27FC236}">
              <a16:creationId xmlns:a16="http://schemas.microsoft.com/office/drawing/2014/main" id="{00000000-0008-0000-0E00-0000C501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453</xdr:row>
      <xdr:rowOff>0</xdr:rowOff>
    </xdr:from>
    <xdr:ext cx="381000" cy="381000"/>
    <xdr:pic>
      <xdr:nvPicPr>
        <xdr:cNvPr id="454" name="image109.jpg">
          <a:extLst>
            <a:ext uri="{FF2B5EF4-FFF2-40B4-BE49-F238E27FC236}">
              <a16:creationId xmlns:a16="http://schemas.microsoft.com/office/drawing/2014/main" id="{00000000-0008-0000-0E00-0000C6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454</xdr:row>
      <xdr:rowOff>0</xdr:rowOff>
    </xdr:from>
    <xdr:ext cx="381000" cy="381000"/>
    <xdr:pic>
      <xdr:nvPicPr>
        <xdr:cNvPr id="455" name="image109.jpg">
          <a:extLst>
            <a:ext uri="{FF2B5EF4-FFF2-40B4-BE49-F238E27FC236}">
              <a16:creationId xmlns:a16="http://schemas.microsoft.com/office/drawing/2014/main" id="{00000000-0008-0000-0E00-0000C7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455</xdr:row>
      <xdr:rowOff>0</xdr:rowOff>
    </xdr:from>
    <xdr:ext cx="381000" cy="381000"/>
    <xdr:pic>
      <xdr:nvPicPr>
        <xdr:cNvPr id="456" name="image109.jpg">
          <a:extLst>
            <a:ext uri="{FF2B5EF4-FFF2-40B4-BE49-F238E27FC236}">
              <a16:creationId xmlns:a16="http://schemas.microsoft.com/office/drawing/2014/main" id="{00000000-0008-0000-0E00-0000C8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456</xdr:row>
      <xdr:rowOff>0</xdr:rowOff>
    </xdr:from>
    <xdr:ext cx="381000" cy="381000"/>
    <xdr:pic>
      <xdr:nvPicPr>
        <xdr:cNvPr id="457" name="image109.jpg">
          <a:extLst>
            <a:ext uri="{FF2B5EF4-FFF2-40B4-BE49-F238E27FC236}">
              <a16:creationId xmlns:a16="http://schemas.microsoft.com/office/drawing/2014/main" id="{00000000-0008-0000-0E00-0000C9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457</xdr:row>
      <xdr:rowOff>0</xdr:rowOff>
    </xdr:from>
    <xdr:ext cx="381000" cy="381000"/>
    <xdr:pic>
      <xdr:nvPicPr>
        <xdr:cNvPr id="458" name="image109.jpg">
          <a:extLst>
            <a:ext uri="{FF2B5EF4-FFF2-40B4-BE49-F238E27FC236}">
              <a16:creationId xmlns:a16="http://schemas.microsoft.com/office/drawing/2014/main" id="{00000000-0008-0000-0E00-0000CA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458</xdr:row>
      <xdr:rowOff>0</xdr:rowOff>
    </xdr:from>
    <xdr:ext cx="381000" cy="381000"/>
    <xdr:pic>
      <xdr:nvPicPr>
        <xdr:cNvPr id="459" name="image109.jpg">
          <a:extLst>
            <a:ext uri="{FF2B5EF4-FFF2-40B4-BE49-F238E27FC236}">
              <a16:creationId xmlns:a16="http://schemas.microsoft.com/office/drawing/2014/main" id="{00000000-0008-0000-0E00-0000CB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459</xdr:row>
      <xdr:rowOff>0</xdr:rowOff>
    </xdr:from>
    <xdr:ext cx="381000" cy="381000"/>
    <xdr:pic>
      <xdr:nvPicPr>
        <xdr:cNvPr id="460" name="image109.jpg">
          <a:extLst>
            <a:ext uri="{FF2B5EF4-FFF2-40B4-BE49-F238E27FC236}">
              <a16:creationId xmlns:a16="http://schemas.microsoft.com/office/drawing/2014/main" id="{00000000-0008-0000-0E00-0000CC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460</xdr:row>
      <xdr:rowOff>0</xdr:rowOff>
    </xdr:from>
    <xdr:ext cx="381000" cy="381000"/>
    <xdr:pic>
      <xdr:nvPicPr>
        <xdr:cNvPr id="461" name="image109.jpg">
          <a:extLst>
            <a:ext uri="{FF2B5EF4-FFF2-40B4-BE49-F238E27FC236}">
              <a16:creationId xmlns:a16="http://schemas.microsoft.com/office/drawing/2014/main" id="{00000000-0008-0000-0E00-0000CD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461</xdr:row>
      <xdr:rowOff>0</xdr:rowOff>
    </xdr:from>
    <xdr:ext cx="381000" cy="381000"/>
    <xdr:pic>
      <xdr:nvPicPr>
        <xdr:cNvPr id="462" name="image109.jpg">
          <a:extLst>
            <a:ext uri="{FF2B5EF4-FFF2-40B4-BE49-F238E27FC236}">
              <a16:creationId xmlns:a16="http://schemas.microsoft.com/office/drawing/2014/main" id="{00000000-0008-0000-0E00-0000CE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462</xdr:row>
      <xdr:rowOff>0</xdr:rowOff>
    </xdr:from>
    <xdr:ext cx="381000" cy="381000"/>
    <xdr:pic>
      <xdr:nvPicPr>
        <xdr:cNvPr id="463" name="image109.jpg">
          <a:extLst>
            <a:ext uri="{FF2B5EF4-FFF2-40B4-BE49-F238E27FC236}">
              <a16:creationId xmlns:a16="http://schemas.microsoft.com/office/drawing/2014/main" id="{00000000-0008-0000-0E00-0000CF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463</xdr:row>
      <xdr:rowOff>0</xdr:rowOff>
    </xdr:from>
    <xdr:ext cx="381000" cy="381000"/>
    <xdr:pic>
      <xdr:nvPicPr>
        <xdr:cNvPr id="464" name="image109.jpg">
          <a:extLst>
            <a:ext uri="{FF2B5EF4-FFF2-40B4-BE49-F238E27FC236}">
              <a16:creationId xmlns:a16="http://schemas.microsoft.com/office/drawing/2014/main" id="{00000000-0008-0000-0E00-0000D0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464</xdr:row>
      <xdr:rowOff>0</xdr:rowOff>
    </xdr:from>
    <xdr:ext cx="381000" cy="381000"/>
    <xdr:pic>
      <xdr:nvPicPr>
        <xdr:cNvPr id="465" name="image109.jpg">
          <a:extLst>
            <a:ext uri="{FF2B5EF4-FFF2-40B4-BE49-F238E27FC236}">
              <a16:creationId xmlns:a16="http://schemas.microsoft.com/office/drawing/2014/main" id="{00000000-0008-0000-0E00-0000D1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465</xdr:row>
      <xdr:rowOff>0</xdr:rowOff>
    </xdr:from>
    <xdr:ext cx="381000" cy="381000"/>
    <xdr:pic>
      <xdr:nvPicPr>
        <xdr:cNvPr id="466" name="image109.jpg">
          <a:extLst>
            <a:ext uri="{FF2B5EF4-FFF2-40B4-BE49-F238E27FC236}">
              <a16:creationId xmlns:a16="http://schemas.microsoft.com/office/drawing/2014/main" id="{00000000-0008-0000-0E00-0000D2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466</xdr:row>
      <xdr:rowOff>0</xdr:rowOff>
    </xdr:from>
    <xdr:ext cx="381000" cy="381000"/>
    <xdr:pic>
      <xdr:nvPicPr>
        <xdr:cNvPr id="467" name="image109.jpg">
          <a:extLst>
            <a:ext uri="{FF2B5EF4-FFF2-40B4-BE49-F238E27FC236}">
              <a16:creationId xmlns:a16="http://schemas.microsoft.com/office/drawing/2014/main" id="{00000000-0008-0000-0E00-0000D3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467</xdr:row>
      <xdr:rowOff>0</xdr:rowOff>
    </xdr:from>
    <xdr:ext cx="381000" cy="381000"/>
    <xdr:pic>
      <xdr:nvPicPr>
        <xdr:cNvPr id="468" name="image109.jpg">
          <a:extLst>
            <a:ext uri="{FF2B5EF4-FFF2-40B4-BE49-F238E27FC236}">
              <a16:creationId xmlns:a16="http://schemas.microsoft.com/office/drawing/2014/main" id="{00000000-0008-0000-0E00-0000D4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468</xdr:row>
      <xdr:rowOff>0</xdr:rowOff>
    </xdr:from>
    <xdr:ext cx="381000" cy="381000"/>
    <xdr:pic>
      <xdr:nvPicPr>
        <xdr:cNvPr id="469" name="image109.jpg">
          <a:extLst>
            <a:ext uri="{FF2B5EF4-FFF2-40B4-BE49-F238E27FC236}">
              <a16:creationId xmlns:a16="http://schemas.microsoft.com/office/drawing/2014/main" id="{00000000-0008-0000-0E00-0000D5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469</xdr:row>
      <xdr:rowOff>0</xdr:rowOff>
    </xdr:from>
    <xdr:ext cx="381000" cy="381000"/>
    <xdr:pic>
      <xdr:nvPicPr>
        <xdr:cNvPr id="470" name="image109.jpg">
          <a:extLst>
            <a:ext uri="{FF2B5EF4-FFF2-40B4-BE49-F238E27FC236}">
              <a16:creationId xmlns:a16="http://schemas.microsoft.com/office/drawing/2014/main" id="{00000000-0008-0000-0E00-0000D6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470</xdr:row>
      <xdr:rowOff>0</xdr:rowOff>
    </xdr:from>
    <xdr:ext cx="381000" cy="381000"/>
    <xdr:pic>
      <xdr:nvPicPr>
        <xdr:cNvPr id="471" name="image109.jpg">
          <a:extLst>
            <a:ext uri="{FF2B5EF4-FFF2-40B4-BE49-F238E27FC236}">
              <a16:creationId xmlns:a16="http://schemas.microsoft.com/office/drawing/2014/main" id="{00000000-0008-0000-0E00-0000D7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471</xdr:row>
      <xdr:rowOff>0</xdr:rowOff>
    </xdr:from>
    <xdr:ext cx="381000" cy="381000"/>
    <xdr:pic>
      <xdr:nvPicPr>
        <xdr:cNvPr id="472" name="image109.jpg">
          <a:extLst>
            <a:ext uri="{FF2B5EF4-FFF2-40B4-BE49-F238E27FC236}">
              <a16:creationId xmlns:a16="http://schemas.microsoft.com/office/drawing/2014/main" id="{00000000-0008-0000-0E00-0000D8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472</xdr:row>
      <xdr:rowOff>0</xdr:rowOff>
    </xdr:from>
    <xdr:ext cx="381000" cy="381000"/>
    <xdr:pic>
      <xdr:nvPicPr>
        <xdr:cNvPr id="473" name="image58.jpg">
          <a:extLst>
            <a:ext uri="{FF2B5EF4-FFF2-40B4-BE49-F238E27FC236}">
              <a16:creationId xmlns:a16="http://schemas.microsoft.com/office/drawing/2014/main" id="{00000000-0008-0000-0E00-0000D9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473</xdr:row>
      <xdr:rowOff>0</xdr:rowOff>
    </xdr:from>
    <xdr:ext cx="381000" cy="381000"/>
    <xdr:pic>
      <xdr:nvPicPr>
        <xdr:cNvPr id="474" name="image58.jpg">
          <a:extLst>
            <a:ext uri="{FF2B5EF4-FFF2-40B4-BE49-F238E27FC236}">
              <a16:creationId xmlns:a16="http://schemas.microsoft.com/office/drawing/2014/main" id="{00000000-0008-0000-0E00-0000DA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474</xdr:row>
      <xdr:rowOff>0</xdr:rowOff>
    </xdr:from>
    <xdr:ext cx="381000" cy="381000"/>
    <xdr:pic>
      <xdr:nvPicPr>
        <xdr:cNvPr id="475" name="image58.jpg">
          <a:extLst>
            <a:ext uri="{FF2B5EF4-FFF2-40B4-BE49-F238E27FC236}">
              <a16:creationId xmlns:a16="http://schemas.microsoft.com/office/drawing/2014/main" id="{00000000-0008-0000-0E00-0000DB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475</xdr:row>
      <xdr:rowOff>0</xdr:rowOff>
    </xdr:from>
    <xdr:ext cx="381000" cy="381000"/>
    <xdr:pic>
      <xdr:nvPicPr>
        <xdr:cNvPr id="476" name="image58.jpg">
          <a:extLst>
            <a:ext uri="{FF2B5EF4-FFF2-40B4-BE49-F238E27FC236}">
              <a16:creationId xmlns:a16="http://schemas.microsoft.com/office/drawing/2014/main" id="{00000000-0008-0000-0E00-0000DC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476</xdr:row>
      <xdr:rowOff>0</xdr:rowOff>
    </xdr:from>
    <xdr:ext cx="381000" cy="381000"/>
    <xdr:pic>
      <xdr:nvPicPr>
        <xdr:cNvPr id="477" name="image58.jpg">
          <a:extLst>
            <a:ext uri="{FF2B5EF4-FFF2-40B4-BE49-F238E27FC236}">
              <a16:creationId xmlns:a16="http://schemas.microsoft.com/office/drawing/2014/main" id="{00000000-0008-0000-0E00-0000DD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477</xdr:row>
      <xdr:rowOff>0</xdr:rowOff>
    </xdr:from>
    <xdr:ext cx="381000" cy="381000"/>
    <xdr:pic>
      <xdr:nvPicPr>
        <xdr:cNvPr id="478" name="image58.jpg">
          <a:extLst>
            <a:ext uri="{FF2B5EF4-FFF2-40B4-BE49-F238E27FC236}">
              <a16:creationId xmlns:a16="http://schemas.microsoft.com/office/drawing/2014/main" id="{00000000-0008-0000-0E00-0000DE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478</xdr:row>
      <xdr:rowOff>0</xdr:rowOff>
    </xdr:from>
    <xdr:ext cx="381000" cy="381000"/>
    <xdr:pic>
      <xdr:nvPicPr>
        <xdr:cNvPr id="479" name="image58.jpg">
          <a:extLst>
            <a:ext uri="{FF2B5EF4-FFF2-40B4-BE49-F238E27FC236}">
              <a16:creationId xmlns:a16="http://schemas.microsoft.com/office/drawing/2014/main" id="{00000000-0008-0000-0E00-0000DF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479</xdr:row>
      <xdr:rowOff>0</xdr:rowOff>
    </xdr:from>
    <xdr:ext cx="381000" cy="381000"/>
    <xdr:pic>
      <xdr:nvPicPr>
        <xdr:cNvPr id="480" name="image58.jpg">
          <a:extLst>
            <a:ext uri="{FF2B5EF4-FFF2-40B4-BE49-F238E27FC236}">
              <a16:creationId xmlns:a16="http://schemas.microsoft.com/office/drawing/2014/main" id="{00000000-0008-0000-0E00-0000E0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480</xdr:row>
      <xdr:rowOff>0</xdr:rowOff>
    </xdr:from>
    <xdr:ext cx="381000" cy="381000"/>
    <xdr:pic>
      <xdr:nvPicPr>
        <xdr:cNvPr id="481" name="image58.jpg">
          <a:extLst>
            <a:ext uri="{FF2B5EF4-FFF2-40B4-BE49-F238E27FC236}">
              <a16:creationId xmlns:a16="http://schemas.microsoft.com/office/drawing/2014/main" id="{00000000-0008-0000-0E00-0000E1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481</xdr:row>
      <xdr:rowOff>0</xdr:rowOff>
    </xdr:from>
    <xdr:ext cx="381000" cy="381000"/>
    <xdr:pic>
      <xdr:nvPicPr>
        <xdr:cNvPr id="482" name="image58.jpg">
          <a:extLst>
            <a:ext uri="{FF2B5EF4-FFF2-40B4-BE49-F238E27FC236}">
              <a16:creationId xmlns:a16="http://schemas.microsoft.com/office/drawing/2014/main" id="{00000000-0008-0000-0E00-0000E2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482</xdr:row>
      <xdr:rowOff>0</xdr:rowOff>
    </xdr:from>
    <xdr:ext cx="381000" cy="381000"/>
    <xdr:pic>
      <xdr:nvPicPr>
        <xdr:cNvPr id="483" name="image58.jpg">
          <a:extLst>
            <a:ext uri="{FF2B5EF4-FFF2-40B4-BE49-F238E27FC236}">
              <a16:creationId xmlns:a16="http://schemas.microsoft.com/office/drawing/2014/main" id="{00000000-0008-0000-0E00-0000E3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483</xdr:row>
      <xdr:rowOff>0</xdr:rowOff>
    </xdr:from>
    <xdr:ext cx="381000" cy="381000"/>
    <xdr:pic>
      <xdr:nvPicPr>
        <xdr:cNvPr id="484" name="image58.jpg">
          <a:extLst>
            <a:ext uri="{FF2B5EF4-FFF2-40B4-BE49-F238E27FC236}">
              <a16:creationId xmlns:a16="http://schemas.microsoft.com/office/drawing/2014/main" id="{00000000-0008-0000-0E00-0000E4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484</xdr:row>
      <xdr:rowOff>0</xdr:rowOff>
    </xdr:from>
    <xdr:ext cx="381000" cy="381000"/>
    <xdr:pic>
      <xdr:nvPicPr>
        <xdr:cNvPr id="485" name="image58.jpg">
          <a:extLst>
            <a:ext uri="{FF2B5EF4-FFF2-40B4-BE49-F238E27FC236}">
              <a16:creationId xmlns:a16="http://schemas.microsoft.com/office/drawing/2014/main" id="{00000000-0008-0000-0E00-0000E5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485</xdr:row>
      <xdr:rowOff>0</xdr:rowOff>
    </xdr:from>
    <xdr:ext cx="381000" cy="381000"/>
    <xdr:pic>
      <xdr:nvPicPr>
        <xdr:cNvPr id="486" name="image58.jpg">
          <a:extLst>
            <a:ext uri="{FF2B5EF4-FFF2-40B4-BE49-F238E27FC236}">
              <a16:creationId xmlns:a16="http://schemas.microsoft.com/office/drawing/2014/main" id="{00000000-0008-0000-0E00-0000E6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486</xdr:row>
      <xdr:rowOff>0</xdr:rowOff>
    </xdr:from>
    <xdr:ext cx="381000" cy="381000"/>
    <xdr:pic>
      <xdr:nvPicPr>
        <xdr:cNvPr id="487" name="image58.jpg">
          <a:extLst>
            <a:ext uri="{FF2B5EF4-FFF2-40B4-BE49-F238E27FC236}">
              <a16:creationId xmlns:a16="http://schemas.microsoft.com/office/drawing/2014/main" id="{00000000-0008-0000-0E00-0000E7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487</xdr:row>
      <xdr:rowOff>0</xdr:rowOff>
    </xdr:from>
    <xdr:ext cx="381000" cy="381000"/>
    <xdr:pic>
      <xdr:nvPicPr>
        <xdr:cNvPr id="488" name="image50.jpg">
          <a:extLst>
            <a:ext uri="{FF2B5EF4-FFF2-40B4-BE49-F238E27FC236}">
              <a16:creationId xmlns:a16="http://schemas.microsoft.com/office/drawing/2014/main" id="{00000000-0008-0000-0E00-0000E8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488</xdr:row>
      <xdr:rowOff>0</xdr:rowOff>
    </xdr:from>
    <xdr:ext cx="381000" cy="381000"/>
    <xdr:pic>
      <xdr:nvPicPr>
        <xdr:cNvPr id="489" name="image50.jpg">
          <a:extLst>
            <a:ext uri="{FF2B5EF4-FFF2-40B4-BE49-F238E27FC236}">
              <a16:creationId xmlns:a16="http://schemas.microsoft.com/office/drawing/2014/main" id="{00000000-0008-0000-0E00-0000E9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489</xdr:row>
      <xdr:rowOff>0</xdr:rowOff>
    </xdr:from>
    <xdr:ext cx="381000" cy="381000"/>
    <xdr:pic>
      <xdr:nvPicPr>
        <xdr:cNvPr id="490" name="image50.jpg">
          <a:extLst>
            <a:ext uri="{FF2B5EF4-FFF2-40B4-BE49-F238E27FC236}">
              <a16:creationId xmlns:a16="http://schemas.microsoft.com/office/drawing/2014/main" id="{00000000-0008-0000-0E00-0000EA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490</xdr:row>
      <xdr:rowOff>0</xdr:rowOff>
    </xdr:from>
    <xdr:ext cx="381000" cy="381000"/>
    <xdr:pic>
      <xdr:nvPicPr>
        <xdr:cNvPr id="491" name="image50.jpg">
          <a:extLst>
            <a:ext uri="{FF2B5EF4-FFF2-40B4-BE49-F238E27FC236}">
              <a16:creationId xmlns:a16="http://schemas.microsoft.com/office/drawing/2014/main" id="{00000000-0008-0000-0E00-0000EB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491</xdr:row>
      <xdr:rowOff>0</xdr:rowOff>
    </xdr:from>
    <xdr:ext cx="381000" cy="381000"/>
    <xdr:pic>
      <xdr:nvPicPr>
        <xdr:cNvPr id="492" name="image50.jpg">
          <a:extLst>
            <a:ext uri="{FF2B5EF4-FFF2-40B4-BE49-F238E27FC236}">
              <a16:creationId xmlns:a16="http://schemas.microsoft.com/office/drawing/2014/main" id="{00000000-0008-0000-0E00-0000EC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492</xdr:row>
      <xdr:rowOff>0</xdr:rowOff>
    </xdr:from>
    <xdr:ext cx="381000" cy="381000"/>
    <xdr:pic>
      <xdr:nvPicPr>
        <xdr:cNvPr id="493" name="image50.jpg">
          <a:extLst>
            <a:ext uri="{FF2B5EF4-FFF2-40B4-BE49-F238E27FC236}">
              <a16:creationId xmlns:a16="http://schemas.microsoft.com/office/drawing/2014/main" id="{00000000-0008-0000-0E00-0000ED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493</xdr:row>
      <xdr:rowOff>0</xdr:rowOff>
    </xdr:from>
    <xdr:ext cx="381000" cy="381000"/>
    <xdr:pic>
      <xdr:nvPicPr>
        <xdr:cNvPr id="494" name="image50.jpg">
          <a:extLst>
            <a:ext uri="{FF2B5EF4-FFF2-40B4-BE49-F238E27FC236}">
              <a16:creationId xmlns:a16="http://schemas.microsoft.com/office/drawing/2014/main" id="{00000000-0008-0000-0E00-0000EE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494</xdr:row>
      <xdr:rowOff>0</xdr:rowOff>
    </xdr:from>
    <xdr:ext cx="381000" cy="381000"/>
    <xdr:pic>
      <xdr:nvPicPr>
        <xdr:cNvPr id="495" name="image50.jpg">
          <a:extLst>
            <a:ext uri="{FF2B5EF4-FFF2-40B4-BE49-F238E27FC236}">
              <a16:creationId xmlns:a16="http://schemas.microsoft.com/office/drawing/2014/main" id="{00000000-0008-0000-0E00-0000EF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495</xdr:row>
      <xdr:rowOff>0</xdr:rowOff>
    </xdr:from>
    <xdr:ext cx="381000" cy="381000"/>
    <xdr:pic>
      <xdr:nvPicPr>
        <xdr:cNvPr id="496" name="image50.jpg">
          <a:extLst>
            <a:ext uri="{FF2B5EF4-FFF2-40B4-BE49-F238E27FC236}">
              <a16:creationId xmlns:a16="http://schemas.microsoft.com/office/drawing/2014/main" id="{00000000-0008-0000-0E00-0000F0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496</xdr:row>
      <xdr:rowOff>0</xdr:rowOff>
    </xdr:from>
    <xdr:ext cx="381000" cy="381000"/>
    <xdr:pic>
      <xdr:nvPicPr>
        <xdr:cNvPr id="497" name="image50.jpg">
          <a:extLst>
            <a:ext uri="{FF2B5EF4-FFF2-40B4-BE49-F238E27FC236}">
              <a16:creationId xmlns:a16="http://schemas.microsoft.com/office/drawing/2014/main" id="{00000000-0008-0000-0E00-0000F1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497</xdr:row>
      <xdr:rowOff>0</xdr:rowOff>
    </xdr:from>
    <xdr:ext cx="381000" cy="381000"/>
    <xdr:pic>
      <xdr:nvPicPr>
        <xdr:cNvPr id="498" name="image50.jpg">
          <a:extLst>
            <a:ext uri="{FF2B5EF4-FFF2-40B4-BE49-F238E27FC236}">
              <a16:creationId xmlns:a16="http://schemas.microsoft.com/office/drawing/2014/main" id="{00000000-0008-0000-0E00-0000F2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498</xdr:row>
      <xdr:rowOff>0</xdr:rowOff>
    </xdr:from>
    <xdr:ext cx="381000" cy="381000"/>
    <xdr:pic>
      <xdr:nvPicPr>
        <xdr:cNvPr id="499" name="image50.jpg">
          <a:extLst>
            <a:ext uri="{FF2B5EF4-FFF2-40B4-BE49-F238E27FC236}">
              <a16:creationId xmlns:a16="http://schemas.microsoft.com/office/drawing/2014/main" id="{00000000-0008-0000-0E00-0000F3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499</xdr:row>
      <xdr:rowOff>0</xdr:rowOff>
    </xdr:from>
    <xdr:ext cx="381000" cy="381000"/>
    <xdr:pic>
      <xdr:nvPicPr>
        <xdr:cNvPr id="500" name="image50.jpg">
          <a:extLst>
            <a:ext uri="{FF2B5EF4-FFF2-40B4-BE49-F238E27FC236}">
              <a16:creationId xmlns:a16="http://schemas.microsoft.com/office/drawing/2014/main" id="{00000000-0008-0000-0E00-0000F4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500</xdr:row>
      <xdr:rowOff>0</xdr:rowOff>
    </xdr:from>
    <xdr:ext cx="381000" cy="381000"/>
    <xdr:pic>
      <xdr:nvPicPr>
        <xdr:cNvPr id="501" name="image50.jpg">
          <a:extLst>
            <a:ext uri="{FF2B5EF4-FFF2-40B4-BE49-F238E27FC236}">
              <a16:creationId xmlns:a16="http://schemas.microsoft.com/office/drawing/2014/main" id="{00000000-0008-0000-0E00-0000F5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501</xdr:row>
      <xdr:rowOff>0</xdr:rowOff>
    </xdr:from>
    <xdr:ext cx="381000" cy="381000"/>
    <xdr:pic>
      <xdr:nvPicPr>
        <xdr:cNvPr id="502" name="image50.jpg">
          <a:extLst>
            <a:ext uri="{FF2B5EF4-FFF2-40B4-BE49-F238E27FC236}">
              <a16:creationId xmlns:a16="http://schemas.microsoft.com/office/drawing/2014/main" id="{00000000-0008-0000-0E00-0000F6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502</xdr:row>
      <xdr:rowOff>0</xdr:rowOff>
    </xdr:from>
    <xdr:ext cx="381000" cy="381000"/>
    <xdr:pic>
      <xdr:nvPicPr>
        <xdr:cNvPr id="503" name="image50.jpg">
          <a:extLst>
            <a:ext uri="{FF2B5EF4-FFF2-40B4-BE49-F238E27FC236}">
              <a16:creationId xmlns:a16="http://schemas.microsoft.com/office/drawing/2014/main" id="{00000000-0008-0000-0E00-0000F7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503</xdr:row>
      <xdr:rowOff>0</xdr:rowOff>
    </xdr:from>
    <xdr:ext cx="381000" cy="381000"/>
    <xdr:pic>
      <xdr:nvPicPr>
        <xdr:cNvPr id="504" name="image50.jpg">
          <a:extLst>
            <a:ext uri="{FF2B5EF4-FFF2-40B4-BE49-F238E27FC236}">
              <a16:creationId xmlns:a16="http://schemas.microsoft.com/office/drawing/2014/main" id="{00000000-0008-0000-0E00-0000F8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504</xdr:row>
      <xdr:rowOff>0</xdr:rowOff>
    </xdr:from>
    <xdr:ext cx="381000" cy="381000"/>
    <xdr:pic>
      <xdr:nvPicPr>
        <xdr:cNvPr id="505" name="image50.jpg">
          <a:extLst>
            <a:ext uri="{FF2B5EF4-FFF2-40B4-BE49-F238E27FC236}">
              <a16:creationId xmlns:a16="http://schemas.microsoft.com/office/drawing/2014/main" id="{00000000-0008-0000-0E00-0000F9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505</xdr:row>
      <xdr:rowOff>0</xdr:rowOff>
    </xdr:from>
    <xdr:ext cx="381000" cy="381000"/>
    <xdr:pic>
      <xdr:nvPicPr>
        <xdr:cNvPr id="506" name="image50.jpg">
          <a:extLst>
            <a:ext uri="{FF2B5EF4-FFF2-40B4-BE49-F238E27FC236}">
              <a16:creationId xmlns:a16="http://schemas.microsoft.com/office/drawing/2014/main" id="{00000000-0008-0000-0E00-0000FA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506</xdr:row>
      <xdr:rowOff>0</xdr:rowOff>
    </xdr:from>
    <xdr:ext cx="381000" cy="381000"/>
    <xdr:pic>
      <xdr:nvPicPr>
        <xdr:cNvPr id="507" name="image93.jpg">
          <a:extLst>
            <a:ext uri="{FF2B5EF4-FFF2-40B4-BE49-F238E27FC236}">
              <a16:creationId xmlns:a16="http://schemas.microsoft.com/office/drawing/2014/main" id="{00000000-0008-0000-0E00-0000FB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507</xdr:row>
      <xdr:rowOff>0</xdr:rowOff>
    </xdr:from>
    <xdr:ext cx="381000" cy="381000"/>
    <xdr:pic>
      <xdr:nvPicPr>
        <xdr:cNvPr id="508" name="image93.jpg">
          <a:extLst>
            <a:ext uri="{FF2B5EF4-FFF2-40B4-BE49-F238E27FC236}">
              <a16:creationId xmlns:a16="http://schemas.microsoft.com/office/drawing/2014/main" id="{00000000-0008-0000-0E00-0000FC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508</xdr:row>
      <xdr:rowOff>0</xdr:rowOff>
    </xdr:from>
    <xdr:ext cx="381000" cy="381000"/>
    <xdr:pic>
      <xdr:nvPicPr>
        <xdr:cNvPr id="509" name="image93.jpg">
          <a:extLst>
            <a:ext uri="{FF2B5EF4-FFF2-40B4-BE49-F238E27FC236}">
              <a16:creationId xmlns:a16="http://schemas.microsoft.com/office/drawing/2014/main" id="{00000000-0008-0000-0E00-0000FD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509</xdr:row>
      <xdr:rowOff>0</xdr:rowOff>
    </xdr:from>
    <xdr:ext cx="381000" cy="381000"/>
    <xdr:pic>
      <xdr:nvPicPr>
        <xdr:cNvPr id="510" name="image93.jpg">
          <a:extLst>
            <a:ext uri="{FF2B5EF4-FFF2-40B4-BE49-F238E27FC236}">
              <a16:creationId xmlns:a16="http://schemas.microsoft.com/office/drawing/2014/main" id="{00000000-0008-0000-0E00-0000FE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510</xdr:row>
      <xdr:rowOff>0</xdr:rowOff>
    </xdr:from>
    <xdr:ext cx="381000" cy="381000"/>
    <xdr:pic>
      <xdr:nvPicPr>
        <xdr:cNvPr id="511" name="image36.jpg">
          <a:extLst>
            <a:ext uri="{FF2B5EF4-FFF2-40B4-BE49-F238E27FC236}">
              <a16:creationId xmlns:a16="http://schemas.microsoft.com/office/drawing/2014/main" id="{00000000-0008-0000-0E00-0000FF01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511</xdr:row>
      <xdr:rowOff>0</xdr:rowOff>
    </xdr:from>
    <xdr:ext cx="381000" cy="381000"/>
    <xdr:pic>
      <xdr:nvPicPr>
        <xdr:cNvPr id="512" name="image36.jpg">
          <a:extLst>
            <a:ext uri="{FF2B5EF4-FFF2-40B4-BE49-F238E27FC236}">
              <a16:creationId xmlns:a16="http://schemas.microsoft.com/office/drawing/2014/main" id="{00000000-0008-0000-0E00-00000002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512</xdr:row>
      <xdr:rowOff>0</xdr:rowOff>
    </xdr:from>
    <xdr:ext cx="381000" cy="381000"/>
    <xdr:pic>
      <xdr:nvPicPr>
        <xdr:cNvPr id="513" name="image51.jpg">
          <a:extLst>
            <a:ext uri="{FF2B5EF4-FFF2-40B4-BE49-F238E27FC236}">
              <a16:creationId xmlns:a16="http://schemas.microsoft.com/office/drawing/2014/main" id="{00000000-0008-0000-0E00-000001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513</xdr:row>
      <xdr:rowOff>0</xdr:rowOff>
    </xdr:from>
    <xdr:ext cx="381000" cy="381000"/>
    <xdr:pic>
      <xdr:nvPicPr>
        <xdr:cNvPr id="514" name="image51.jpg">
          <a:extLst>
            <a:ext uri="{FF2B5EF4-FFF2-40B4-BE49-F238E27FC236}">
              <a16:creationId xmlns:a16="http://schemas.microsoft.com/office/drawing/2014/main" id="{00000000-0008-0000-0E00-000002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514</xdr:row>
      <xdr:rowOff>0</xdr:rowOff>
    </xdr:from>
    <xdr:ext cx="381000" cy="381000"/>
    <xdr:pic>
      <xdr:nvPicPr>
        <xdr:cNvPr id="515" name="image51.jpg">
          <a:extLst>
            <a:ext uri="{FF2B5EF4-FFF2-40B4-BE49-F238E27FC236}">
              <a16:creationId xmlns:a16="http://schemas.microsoft.com/office/drawing/2014/main" id="{00000000-0008-0000-0E00-000003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515</xdr:row>
      <xdr:rowOff>0</xdr:rowOff>
    </xdr:from>
    <xdr:ext cx="381000" cy="381000"/>
    <xdr:pic>
      <xdr:nvPicPr>
        <xdr:cNvPr id="516" name="image51.jpg">
          <a:extLst>
            <a:ext uri="{FF2B5EF4-FFF2-40B4-BE49-F238E27FC236}">
              <a16:creationId xmlns:a16="http://schemas.microsoft.com/office/drawing/2014/main" id="{00000000-0008-0000-0E00-000004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516</xdr:row>
      <xdr:rowOff>0</xdr:rowOff>
    </xdr:from>
    <xdr:ext cx="381000" cy="381000"/>
    <xdr:pic>
      <xdr:nvPicPr>
        <xdr:cNvPr id="517" name="image51.jpg">
          <a:extLst>
            <a:ext uri="{FF2B5EF4-FFF2-40B4-BE49-F238E27FC236}">
              <a16:creationId xmlns:a16="http://schemas.microsoft.com/office/drawing/2014/main" id="{00000000-0008-0000-0E00-000005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517</xdr:row>
      <xdr:rowOff>0</xdr:rowOff>
    </xdr:from>
    <xdr:ext cx="381000" cy="381000"/>
    <xdr:pic>
      <xdr:nvPicPr>
        <xdr:cNvPr id="518" name="image51.jpg">
          <a:extLst>
            <a:ext uri="{FF2B5EF4-FFF2-40B4-BE49-F238E27FC236}">
              <a16:creationId xmlns:a16="http://schemas.microsoft.com/office/drawing/2014/main" id="{00000000-0008-0000-0E00-000006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518</xdr:row>
      <xdr:rowOff>0</xdr:rowOff>
    </xdr:from>
    <xdr:ext cx="381000" cy="381000"/>
    <xdr:pic>
      <xdr:nvPicPr>
        <xdr:cNvPr id="519" name="image51.jpg">
          <a:extLst>
            <a:ext uri="{FF2B5EF4-FFF2-40B4-BE49-F238E27FC236}">
              <a16:creationId xmlns:a16="http://schemas.microsoft.com/office/drawing/2014/main" id="{00000000-0008-0000-0E00-000007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519</xdr:row>
      <xdr:rowOff>0</xdr:rowOff>
    </xdr:from>
    <xdr:ext cx="381000" cy="381000"/>
    <xdr:pic>
      <xdr:nvPicPr>
        <xdr:cNvPr id="520" name="image51.jpg">
          <a:extLst>
            <a:ext uri="{FF2B5EF4-FFF2-40B4-BE49-F238E27FC236}">
              <a16:creationId xmlns:a16="http://schemas.microsoft.com/office/drawing/2014/main" id="{00000000-0008-0000-0E00-000008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520</xdr:row>
      <xdr:rowOff>0</xdr:rowOff>
    </xdr:from>
    <xdr:ext cx="381000" cy="381000"/>
    <xdr:pic>
      <xdr:nvPicPr>
        <xdr:cNvPr id="521" name="image51.jpg">
          <a:extLst>
            <a:ext uri="{FF2B5EF4-FFF2-40B4-BE49-F238E27FC236}">
              <a16:creationId xmlns:a16="http://schemas.microsoft.com/office/drawing/2014/main" id="{00000000-0008-0000-0E00-000009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521</xdr:row>
      <xdr:rowOff>0</xdr:rowOff>
    </xdr:from>
    <xdr:ext cx="381000" cy="381000"/>
    <xdr:pic>
      <xdr:nvPicPr>
        <xdr:cNvPr id="522" name="image51.jpg">
          <a:extLst>
            <a:ext uri="{FF2B5EF4-FFF2-40B4-BE49-F238E27FC236}">
              <a16:creationId xmlns:a16="http://schemas.microsoft.com/office/drawing/2014/main" id="{00000000-0008-0000-0E00-00000A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522</xdr:row>
      <xdr:rowOff>0</xdr:rowOff>
    </xdr:from>
    <xdr:ext cx="381000" cy="381000"/>
    <xdr:pic>
      <xdr:nvPicPr>
        <xdr:cNvPr id="523" name="image51.jpg">
          <a:extLst>
            <a:ext uri="{FF2B5EF4-FFF2-40B4-BE49-F238E27FC236}">
              <a16:creationId xmlns:a16="http://schemas.microsoft.com/office/drawing/2014/main" id="{00000000-0008-0000-0E00-00000B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523</xdr:row>
      <xdr:rowOff>0</xdr:rowOff>
    </xdr:from>
    <xdr:ext cx="381000" cy="381000"/>
    <xdr:pic>
      <xdr:nvPicPr>
        <xdr:cNvPr id="524" name="image51.jpg">
          <a:extLst>
            <a:ext uri="{FF2B5EF4-FFF2-40B4-BE49-F238E27FC236}">
              <a16:creationId xmlns:a16="http://schemas.microsoft.com/office/drawing/2014/main" id="{00000000-0008-0000-0E00-00000C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524</xdr:row>
      <xdr:rowOff>0</xdr:rowOff>
    </xdr:from>
    <xdr:ext cx="381000" cy="381000"/>
    <xdr:pic>
      <xdr:nvPicPr>
        <xdr:cNvPr id="525" name="image51.jpg">
          <a:extLst>
            <a:ext uri="{FF2B5EF4-FFF2-40B4-BE49-F238E27FC236}">
              <a16:creationId xmlns:a16="http://schemas.microsoft.com/office/drawing/2014/main" id="{00000000-0008-0000-0E00-00000D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525</xdr:row>
      <xdr:rowOff>0</xdr:rowOff>
    </xdr:from>
    <xdr:ext cx="381000" cy="381000"/>
    <xdr:pic>
      <xdr:nvPicPr>
        <xdr:cNvPr id="526" name="image51.jpg">
          <a:extLst>
            <a:ext uri="{FF2B5EF4-FFF2-40B4-BE49-F238E27FC236}">
              <a16:creationId xmlns:a16="http://schemas.microsoft.com/office/drawing/2014/main" id="{00000000-0008-0000-0E00-00000E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526</xdr:row>
      <xdr:rowOff>0</xdr:rowOff>
    </xdr:from>
    <xdr:ext cx="381000" cy="381000"/>
    <xdr:pic>
      <xdr:nvPicPr>
        <xdr:cNvPr id="527" name="image51.jpg">
          <a:extLst>
            <a:ext uri="{FF2B5EF4-FFF2-40B4-BE49-F238E27FC236}">
              <a16:creationId xmlns:a16="http://schemas.microsoft.com/office/drawing/2014/main" id="{00000000-0008-0000-0E00-00000F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527</xdr:row>
      <xdr:rowOff>0</xdr:rowOff>
    </xdr:from>
    <xdr:ext cx="381000" cy="381000"/>
    <xdr:pic>
      <xdr:nvPicPr>
        <xdr:cNvPr id="528" name="image51.jpg">
          <a:extLst>
            <a:ext uri="{FF2B5EF4-FFF2-40B4-BE49-F238E27FC236}">
              <a16:creationId xmlns:a16="http://schemas.microsoft.com/office/drawing/2014/main" id="{00000000-0008-0000-0E00-000010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528</xdr:row>
      <xdr:rowOff>0</xdr:rowOff>
    </xdr:from>
    <xdr:ext cx="381000" cy="381000"/>
    <xdr:pic>
      <xdr:nvPicPr>
        <xdr:cNvPr id="529" name="image51.jpg">
          <a:extLst>
            <a:ext uri="{FF2B5EF4-FFF2-40B4-BE49-F238E27FC236}">
              <a16:creationId xmlns:a16="http://schemas.microsoft.com/office/drawing/2014/main" id="{00000000-0008-0000-0E00-000011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529</xdr:row>
      <xdr:rowOff>0</xdr:rowOff>
    </xdr:from>
    <xdr:ext cx="381000" cy="381000"/>
    <xdr:pic>
      <xdr:nvPicPr>
        <xdr:cNvPr id="530" name="image51.jpg">
          <a:extLst>
            <a:ext uri="{FF2B5EF4-FFF2-40B4-BE49-F238E27FC236}">
              <a16:creationId xmlns:a16="http://schemas.microsoft.com/office/drawing/2014/main" id="{00000000-0008-0000-0E00-000012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530</xdr:row>
      <xdr:rowOff>0</xdr:rowOff>
    </xdr:from>
    <xdr:ext cx="381000" cy="381000"/>
    <xdr:pic>
      <xdr:nvPicPr>
        <xdr:cNvPr id="531" name="image51.jpg">
          <a:extLst>
            <a:ext uri="{FF2B5EF4-FFF2-40B4-BE49-F238E27FC236}">
              <a16:creationId xmlns:a16="http://schemas.microsoft.com/office/drawing/2014/main" id="{00000000-0008-0000-0E00-000013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531</xdr:row>
      <xdr:rowOff>0</xdr:rowOff>
    </xdr:from>
    <xdr:ext cx="381000" cy="381000"/>
    <xdr:pic>
      <xdr:nvPicPr>
        <xdr:cNvPr id="532" name="image51.jpg">
          <a:extLst>
            <a:ext uri="{FF2B5EF4-FFF2-40B4-BE49-F238E27FC236}">
              <a16:creationId xmlns:a16="http://schemas.microsoft.com/office/drawing/2014/main" id="{00000000-0008-0000-0E00-000014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532</xdr:row>
      <xdr:rowOff>0</xdr:rowOff>
    </xdr:from>
    <xdr:ext cx="381000" cy="381000"/>
    <xdr:pic>
      <xdr:nvPicPr>
        <xdr:cNvPr id="533" name="image51.jpg">
          <a:extLst>
            <a:ext uri="{FF2B5EF4-FFF2-40B4-BE49-F238E27FC236}">
              <a16:creationId xmlns:a16="http://schemas.microsoft.com/office/drawing/2014/main" id="{00000000-0008-0000-0E00-000015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533</xdr:row>
      <xdr:rowOff>0</xdr:rowOff>
    </xdr:from>
    <xdr:ext cx="381000" cy="381000"/>
    <xdr:pic>
      <xdr:nvPicPr>
        <xdr:cNvPr id="534" name="image51.jpg">
          <a:extLst>
            <a:ext uri="{FF2B5EF4-FFF2-40B4-BE49-F238E27FC236}">
              <a16:creationId xmlns:a16="http://schemas.microsoft.com/office/drawing/2014/main" id="{00000000-0008-0000-0E00-000016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534</xdr:row>
      <xdr:rowOff>0</xdr:rowOff>
    </xdr:from>
    <xdr:ext cx="381000" cy="381000"/>
    <xdr:pic>
      <xdr:nvPicPr>
        <xdr:cNvPr id="535" name="image51.jpg">
          <a:extLst>
            <a:ext uri="{FF2B5EF4-FFF2-40B4-BE49-F238E27FC236}">
              <a16:creationId xmlns:a16="http://schemas.microsoft.com/office/drawing/2014/main" id="{00000000-0008-0000-0E00-000017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535</xdr:row>
      <xdr:rowOff>0</xdr:rowOff>
    </xdr:from>
    <xdr:ext cx="381000" cy="381000"/>
    <xdr:pic>
      <xdr:nvPicPr>
        <xdr:cNvPr id="536" name="image51.jpg">
          <a:extLst>
            <a:ext uri="{FF2B5EF4-FFF2-40B4-BE49-F238E27FC236}">
              <a16:creationId xmlns:a16="http://schemas.microsoft.com/office/drawing/2014/main" id="{00000000-0008-0000-0E00-000018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536</xdr:row>
      <xdr:rowOff>0</xdr:rowOff>
    </xdr:from>
    <xdr:ext cx="381000" cy="381000"/>
    <xdr:pic>
      <xdr:nvPicPr>
        <xdr:cNvPr id="537" name="image51.jpg">
          <a:extLst>
            <a:ext uri="{FF2B5EF4-FFF2-40B4-BE49-F238E27FC236}">
              <a16:creationId xmlns:a16="http://schemas.microsoft.com/office/drawing/2014/main" id="{00000000-0008-0000-0E00-000019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537</xdr:row>
      <xdr:rowOff>0</xdr:rowOff>
    </xdr:from>
    <xdr:ext cx="381000" cy="381000"/>
    <xdr:pic>
      <xdr:nvPicPr>
        <xdr:cNvPr id="538" name="image51.jpg">
          <a:extLst>
            <a:ext uri="{FF2B5EF4-FFF2-40B4-BE49-F238E27FC236}">
              <a16:creationId xmlns:a16="http://schemas.microsoft.com/office/drawing/2014/main" id="{00000000-0008-0000-0E00-00001A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538</xdr:row>
      <xdr:rowOff>0</xdr:rowOff>
    </xdr:from>
    <xdr:ext cx="381000" cy="381000"/>
    <xdr:pic>
      <xdr:nvPicPr>
        <xdr:cNvPr id="539" name="image51.jpg">
          <a:extLst>
            <a:ext uri="{FF2B5EF4-FFF2-40B4-BE49-F238E27FC236}">
              <a16:creationId xmlns:a16="http://schemas.microsoft.com/office/drawing/2014/main" id="{00000000-0008-0000-0E00-00001B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539</xdr:row>
      <xdr:rowOff>0</xdr:rowOff>
    </xdr:from>
    <xdr:ext cx="381000" cy="381000"/>
    <xdr:pic>
      <xdr:nvPicPr>
        <xdr:cNvPr id="540" name="image51.jpg">
          <a:extLst>
            <a:ext uri="{FF2B5EF4-FFF2-40B4-BE49-F238E27FC236}">
              <a16:creationId xmlns:a16="http://schemas.microsoft.com/office/drawing/2014/main" id="{00000000-0008-0000-0E00-00001C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540</xdr:row>
      <xdr:rowOff>0</xdr:rowOff>
    </xdr:from>
    <xdr:ext cx="381000" cy="381000"/>
    <xdr:pic>
      <xdr:nvPicPr>
        <xdr:cNvPr id="541" name="image51.jpg">
          <a:extLst>
            <a:ext uri="{FF2B5EF4-FFF2-40B4-BE49-F238E27FC236}">
              <a16:creationId xmlns:a16="http://schemas.microsoft.com/office/drawing/2014/main" id="{00000000-0008-0000-0E00-00001D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541</xdr:row>
      <xdr:rowOff>0</xdr:rowOff>
    </xdr:from>
    <xdr:ext cx="381000" cy="381000"/>
    <xdr:pic>
      <xdr:nvPicPr>
        <xdr:cNvPr id="542" name="image51.jpg">
          <a:extLst>
            <a:ext uri="{FF2B5EF4-FFF2-40B4-BE49-F238E27FC236}">
              <a16:creationId xmlns:a16="http://schemas.microsoft.com/office/drawing/2014/main" id="{00000000-0008-0000-0E00-00001E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542</xdr:row>
      <xdr:rowOff>0</xdr:rowOff>
    </xdr:from>
    <xdr:ext cx="381000" cy="381000"/>
    <xdr:pic>
      <xdr:nvPicPr>
        <xdr:cNvPr id="543" name="image51.jpg">
          <a:extLst>
            <a:ext uri="{FF2B5EF4-FFF2-40B4-BE49-F238E27FC236}">
              <a16:creationId xmlns:a16="http://schemas.microsoft.com/office/drawing/2014/main" id="{00000000-0008-0000-0E00-00001F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543</xdr:row>
      <xdr:rowOff>0</xdr:rowOff>
    </xdr:from>
    <xdr:ext cx="381000" cy="381000"/>
    <xdr:pic>
      <xdr:nvPicPr>
        <xdr:cNvPr id="544" name="image51.jpg">
          <a:extLst>
            <a:ext uri="{FF2B5EF4-FFF2-40B4-BE49-F238E27FC236}">
              <a16:creationId xmlns:a16="http://schemas.microsoft.com/office/drawing/2014/main" id="{00000000-0008-0000-0E00-000020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544</xdr:row>
      <xdr:rowOff>0</xdr:rowOff>
    </xdr:from>
    <xdr:ext cx="381000" cy="381000"/>
    <xdr:pic>
      <xdr:nvPicPr>
        <xdr:cNvPr id="545" name="image51.jpg">
          <a:extLst>
            <a:ext uri="{FF2B5EF4-FFF2-40B4-BE49-F238E27FC236}">
              <a16:creationId xmlns:a16="http://schemas.microsoft.com/office/drawing/2014/main" id="{00000000-0008-0000-0E00-000021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545</xdr:row>
      <xdr:rowOff>0</xdr:rowOff>
    </xdr:from>
    <xdr:ext cx="381000" cy="381000"/>
    <xdr:pic>
      <xdr:nvPicPr>
        <xdr:cNvPr id="546" name="image51.jpg">
          <a:extLst>
            <a:ext uri="{FF2B5EF4-FFF2-40B4-BE49-F238E27FC236}">
              <a16:creationId xmlns:a16="http://schemas.microsoft.com/office/drawing/2014/main" id="{00000000-0008-0000-0E00-000022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546</xdr:row>
      <xdr:rowOff>0</xdr:rowOff>
    </xdr:from>
    <xdr:ext cx="381000" cy="381000"/>
    <xdr:pic>
      <xdr:nvPicPr>
        <xdr:cNvPr id="547" name="image51.jpg">
          <a:extLst>
            <a:ext uri="{FF2B5EF4-FFF2-40B4-BE49-F238E27FC236}">
              <a16:creationId xmlns:a16="http://schemas.microsoft.com/office/drawing/2014/main" id="{00000000-0008-0000-0E00-000023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547</xdr:row>
      <xdr:rowOff>0</xdr:rowOff>
    </xdr:from>
    <xdr:ext cx="381000" cy="381000"/>
    <xdr:pic>
      <xdr:nvPicPr>
        <xdr:cNvPr id="548" name="image51.jpg">
          <a:extLst>
            <a:ext uri="{FF2B5EF4-FFF2-40B4-BE49-F238E27FC236}">
              <a16:creationId xmlns:a16="http://schemas.microsoft.com/office/drawing/2014/main" id="{00000000-0008-0000-0E00-000024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548</xdr:row>
      <xdr:rowOff>0</xdr:rowOff>
    </xdr:from>
    <xdr:ext cx="381000" cy="381000"/>
    <xdr:pic>
      <xdr:nvPicPr>
        <xdr:cNvPr id="549" name="image51.jpg">
          <a:extLst>
            <a:ext uri="{FF2B5EF4-FFF2-40B4-BE49-F238E27FC236}">
              <a16:creationId xmlns:a16="http://schemas.microsoft.com/office/drawing/2014/main" id="{00000000-0008-0000-0E00-000025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549</xdr:row>
      <xdr:rowOff>0</xdr:rowOff>
    </xdr:from>
    <xdr:ext cx="381000" cy="381000"/>
    <xdr:pic>
      <xdr:nvPicPr>
        <xdr:cNvPr id="550" name="image51.jpg">
          <a:extLst>
            <a:ext uri="{FF2B5EF4-FFF2-40B4-BE49-F238E27FC236}">
              <a16:creationId xmlns:a16="http://schemas.microsoft.com/office/drawing/2014/main" id="{00000000-0008-0000-0E00-000026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550</xdr:row>
      <xdr:rowOff>0</xdr:rowOff>
    </xdr:from>
    <xdr:ext cx="371475" cy="381000"/>
    <xdr:pic>
      <xdr:nvPicPr>
        <xdr:cNvPr id="551" name="image164.png">
          <a:extLst>
            <a:ext uri="{FF2B5EF4-FFF2-40B4-BE49-F238E27FC236}">
              <a16:creationId xmlns:a16="http://schemas.microsoft.com/office/drawing/2014/main" id="{00000000-0008-0000-0E00-00002702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2</xdr:col>
      <xdr:colOff>0</xdr:colOff>
      <xdr:row>551</xdr:row>
      <xdr:rowOff>0</xdr:rowOff>
    </xdr:from>
    <xdr:ext cx="371475" cy="381000"/>
    <xdr:pic>
      <xdr:nvPicPr>
        <xdr:cNvPr id="552" name="image164.png">
          <a:extLst>
            <a:ext uri="{FF2B5EF4-FFF2-40B4-BE49-F238E27FC236}">
              <a16:creationId xmlns:a16="http://schemas.microsoft.com/office/drawing/2014/main" id="{00000000-0008-0000-0E00-00002802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2</xdr:col>
      <xdr:colOff>0</xdr:colOff>
      <xdr:row>552</xdr:row>
      <xdr:rowOff>0</xdr:rowOff>
    </xdr:from>
    <xdr:ext cx="381000" cy="381000"/>
    <xdr:pic>
      <xdr:nvPicPr>
        <xdr:cNvPr id="553" name="image161.png">
          <a:extLst>
            <a:ext uri="{FF2B5EF4-FFF2-40B4-BE49-F238E27FC236}">
              <a16:creationId xmlns:a16="http://schemas.microsoft.com/office/drawing/2014/main" id="{00000000-0008-0000-0E00-00002902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553</xdr:row>
      <xdr:rowOff>0</xdr:rowOff>
    </xdr:from>
    <xdr:ext cx="381000" cy="381000"/>
    <xdr:pic>
      <xdr:nvPicPr>
        <xdr:cNvPr id="554" name="image161.png">
          <a:extLst>
            <a:ext uri="{FF2B5EF4-FFF2-40B4-BE49-F238E27FC236}">
              <a16:creationId xmlns:a16="http://schemas.microsoft.com/office/drawing/2014/main" id="{00000000-0008-0000-0E00-00002A02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554</xdr:row>
      <xdr:rowOff>0</xdr:rowOff>
    </xdr:from>
    <xdr:ext cx="381000" cy="381000"/>
    <xdr:pic>
      <xdr:nvPicPr>
        <xdr:cNvPr id="555" name="image62.jpg">
          <a:extLst>
            <a:ext uri="{FF2B5EF4-FFF2-40B4-BE49-F238E27FC236}">
              <a16:creationId xmlns:a16="http://schemas.microsoft.com/office/drawing/2014/main" id="{00000000-0008-0000-0E00-00002B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555</xdr:row>
      <xdr:rowOff>0</xdr:rowOff>
    </xdr:from>
    <xdr:ext cx="381000" cy="381000"/>
    <xdr:pic>
      <xdr:nvPicPr>
        <xdr:cNvPr id="556" name="image62.jpg">
          <a:extLst>
            <a:ext uri="{FF2B5EF4-FFF2-40B4-BE49-F238E27FC236}">
              <a16:creationId xmlns:a16="http://schemas.microsoft.com/office/drawing/2014/main" id="{00000000-0008-0000-0E00-00002C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556</xdr:row>
      <xdr:rowOff>0</xdr:rowOff>
    </xdr:from>
    <xdr:ext cx="381000" cy="381000"/>
    <xdr:pic>
      <xdr:nvPicPr>
        <xdr:cNvPr id="557" name="image62.jpg">
          <a:extLst>
            <a:ext uri="{FF2B5EF4-FFF2-40B4-BE49-F238E27FC236}">
              <a16:creationId xmlns:a16="http://schemas.microsoft.com/office/drawing/2014/main" id="{00000000-0008-0000-0E00-00002D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557</xdr:row>
      <xdr:rowOff>0</xdr:rowOff>
    </xdr:from>
    <xdr:ext cx="381000" cy="381000"/>
    <xdr:pic>
      <xdr:nvPicPr>
        <xdr:cNvPr id="558" name="image62.jpg">
          <a:extLst>
            <a:ext uri="{FF2B5EF4-FFF2-40B4-BE49-F238E27FC236}">
              <a16:creationId xmlns:a16="http://schemas.microsoft.com/office/drawing/2014/main" id="{00000000-0008-0000-0E00-00002E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558</xdr:row>
      <xdr:rowOff>0</xdr:rowOff>
    </xdr:from>
    <xdr:ext cx="381000" cy="381000"/>
    <xdr:pic>
      <xdr:nvPicPr>
        <xdr:cNvPr id="559" name="image62.jpg">
          <a:extLst>
            <a:ext uri="{FF2B5EF4-FFF2-40B4-BE49-F238E27FC236}">
              <a16:creationId xmlns:a16="http://schemas.microsoft.com/office/drawing/2014/main" id="{00000000-0008-0000-0E00-00002F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559</xdr:row>
      <xdr:rowOff>0</xdr:rowOff>
    </xdr:from>
    <xdr:ext cx="381000" cy="381000"/>
    <xdr:pic>
      <xdr:nvPicPr>
        <xdr:cNvPr id="560" name="image62.jpg">
          <a:extLst>
            <a:ext uri="{FF2B5EF4-FFF2-40B4-BE49-F238E27FC236}">
              <a16:creationId xmlns:a16="http://schemas.microsoft.com/office/drawing/2014/main" id="{00000000-0008-0000-0E00-000030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560</xdr:row>
      <xdr:rowOff>0</xdr:rowOff>
    </xdr:from>
    <xdr:ext cx="381000" cy="381000"/>
    <xdr:pic>
      <xdr:nvPicPr>
        <xdr:cNvPr id="561" name="image62.jpg">
          <a:extLst>
            <a:ext uri="{FF2B5EF4-FFF2-40B4-BE49-F238E27FC236}">
              <a16:creationId xmlns:a16="http://schemas.microsoft.com/office/drawing/2014/main" id="{00000000-0008-0000-0E00-000031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561</xdr:row>
      <xdr:rowOff>0</xdr:rowOff>
    </xdr:from>
    <xdr:ext cx="381000" cy="381000"/>
    <xdr:pic>
      <xdr:nvPicPr>
        <xdr:cNvPr id="562" name="image62.jpg">
          <a:extLst>
            <a:ext uri="{FF2B5EF4-FFF2-40B4-BE49-F238E27FC236}">
              <a16:creationId xmlns:a16="http://schemas.microsoft.com/office/drawing/2014/main" id="{00000000-0008-0000-0E00-000032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562</xdr:row>
      <xdr:rowOff>0</xdr:rowOff>
    </xdr:from>
    <xdr:ext cx="381000" cy="381000"/>
    <xdr:pic>
      <xdr:nvPicPr>
        <xdr:cNvPr id="563" name="image62.jpg">
          <a:extLst>
            <a:ext uri="{FF2B5EF4-FFF2-40B4-BE49-F238E27FC236}">
              <a16:creationId xmlns:a16="http://schemas.microsoft.com/office/drawing/2014/main" id="{00000000-0008-0000-0E00-000033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563</xdr:row>
      <xdr:rowOff>0</xdr:rowOff>
    </xdr:from>
    <xdr:ext cx="381000" cy="381000"/>
    <xdr:pic>
      <xdr:nvPicPr>
        <xdr:cNvPr id="564" name="image62.jpg">
          <a:extLst>
            <a:ext uri="{FF2B5EF4-FFF2-40B4-BE49-F238E27FC236}">
              <a16:creationId xmlns:a16="http://schemas.microsoft.com/office/drawing/2014/main" id="{00000000-0008-0000-0E00-000034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564</xdr:row>
      <xdr:rowOff>0</xdr:rowOff>
    </xdr:from>
    <xdr:ext cx="381000" cy="381000"/>
    <xdr:pic>
      <xdr:nvPicPr>
        <xdr:cNvPr id="565" name="image62.jpg">
          <a:extLst>
            <a:ext uri="{FF2B5EF4-FFF2-40B4-BE49-F238E27FC236}">
              <a16:creationId xmlns:a16="http://schemas.microsoft.com/office/drawing/2014/main" id="{00000000-0008-0000-0E00-000035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565</xdr:row>
      <xdr:rowOff>0</xdr:rowOff>
    </xdr:from>
    <xdr:ext cx="381000" cy="381000"/>
    <xdr:pic>
      <xdr:nvPicPr>
        <xdr:cNvPr id="566" name="image62.jpg">
          <a:extLst>
            <a:ext uri="{FF2B5EF4-FFF2-40B4-BE49-F238E27FC236}">
              <a16:creationId xmlns:a16="http://schemas.microsoft.com/office/drawing/2014/main" id="{00000000-0008-0000-0E00-000036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566</xdr:row>
      <xdr:rowOff>0</xdr:rowOff>
    </xdr:from>
    <xdr:ext cx="381000" cy="381000"/>
    <xdr:pic>
      <xdr:nvPicPr>
        <xdr:cNvPr id="567" name="image62.jpg">
          <a:extLst>
            <a:ext uri="{FF2B5EF4-FFF2-40B4-BE49-F238E27FC236}">
              <a16:creationId xmlns:a16="http://schemas.microsoft.com/office/drawing/2014/main" id="{00000000-0008-0000-0E00-000037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567</xdr:row>
      <xdr:rowOff>0</xdr:rowOff>
    </xdr:from>
    <xdr:ext cx="381000" cy="381000"/>
    <xdr:pic>
      <xdr:nvPicPr>
        <xdr:cNvPr id="568" name="image62.jpg">
          <a:extLst>
            <a:ext uri="{FF2B5EF4-FFF2-40B4-BE49-F238E27FC236}">
              <a16:creationId xmlns:a16="http://schemas.microsoft.com/office/drawing/2014/main" id="{00000000-0008-0000-0E00-000038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568</xdr:row>
      <xdr:rowOff>0</xdr:rowOff>
    </xdr:from>
    <xdr:ext cx="381000" cy="381000"/>
    <xdr:pic>
      <xdr:nvPicPr>
        <xdr:cNvPr id="569" name="image62.jpg">
          <a:extLst>
            <a:ext uri="{FF2B5EF4-FFF2-40B4-BE49-F238E27FC236}">
              <a16:creationId xmlns:a16="http://schemas.microsoft.com/office/drawing/2014/main" id="{00000000-0008-0000-0E00-000039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569</xdr:row>
      <xdr:rowOff>0</xdr:rowOff>
    </xdr:from>
    <xdr:ext cx="381000" cy="381000"/>
    <xdr:pic>
      <xdr:nvPicPr>
        <xdr:cNvPr id="570" name="image62.jpg">
          <a:extLst>
            <a:ext uri="{FF2B5EF4-FFF2-40B4-BE49-F238E27FC236}">
              <a16:creationId xmlns:a16="http://schemas.microsoft.com/office/drawing/2014/main" id="{00000000-0008-0000-0E00-00003A02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570</xdr:row>
      <xdr:rowOff>0</xdr:rowOff>
    </xdr:from>
    <xdr:ext cx="381000" cy="381000"/>
    <xdr:pic>
      <xdr:nvPicPr>
        <xdr:cNvPr id="571" name="image22.jpg">
          <a:extLst>
            <a:ext uri="{FF2B5EF4-FFF2-40B4-BE49-F238E27FC236}">
              <a16:creationId xmlns:a16="http://schemas.microsoft.com/office/drawing/2014/main" id="{00000000-0008-0000-0E00-00003B02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571</xdr:row>
      <xdr:rowOff>0</xdr:rowOff>
    </xdr:from>
    <xdr:ext cx="381000" cy="381000"/>
    <xdr:pic>
      <xdr:nvPicPr>
        <xdr:cNvPr id="572" name="image22.jpg">
          <a:extLst>
            <a:ext uri="{FF2B5EF4-FFF2-40B4-BE49-F238E27FC236}">
              <a16:creationId xmlns:a16="http://schemas.microsoft.com/office/drawing/2014/main" id="{00000000-0008-0000-0E00-00003C02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572</xdr:row>
      <xdr:rowOff>0</xdr:rowOff>
    </xdr:from>
    <xdr:ext cx="381000" cy="381000"/>
    <xdr:pic>
      <xdr:nvPicPr>
        <xdr:cNvPr id="573" name="image22.jpg">
          <a:extLst>
            <a:ext uri="{FF2B5EF4-FFF2-40B4-BE49-F238E27FC236}">
              <a16:creationId xmlns:a16="http://schemas.microsoft.com/office/drawing/2014/main" id="{00000000-0008-0000-0E00-00003D02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573</xdr:row>
      <xdr:rowOff>0</xdr:rowOff>
    </xdr:from>
    <xdr:ext cx="381000" cy="381000"/>
    <xdr:pic>
      <xdr:nvPicPr>
        <xdr:cNvPr id="574" name="image22.jpg">
          <a:extLst>
            <a:ext uri="{FF2B5EF4-FFF2-40B4-BE49-F238E27FC236}">
              <a16:creationId xmlns:a16="http://schemas.microsoft.com/office/drawing/2014/main" id="{00000000-0008-0000-0E00-00003E02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574</xdr:row>
      <xdr:rowOff>0</xdr:rowOff>
    </xdr:from>
    <xdr:ext cx="381000" cy="381000"/>
    <xdr:pic>
      <xdr:nvPicPr>
        <xdr:cNvPr id="575" name="image22.jpg">
          <a:extLst>
            <a:ext uri="{FF2B5EF4-FFF2-40B4-BE49-F238E27FC236}">
              <a16:creationId xmlns:a16="http://schemas.microsoft.com/office/drawing/2014/main" id="{00000000-0008-0000-0E00-00003F02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575</xdr:row>
      <xdr:rowOff>0</xdr:rowOff>
    </xdr:from>
    <xdr:ext cx="381000" cy="381000"/>
    <xdr:pic>
      <xdr:nvPicPr>
        <xdr:cNvPr id="576" name="image22.jpg">
          <a:extLst>
            <a:ext uri="{FF2B5EF4-FFF2-40B4-BE49-F238E27FC236}">
              <a16:creationId xmlns:a16="http://schemas.microsoft.com/office/drawing/2014/main" id="{00000000-0008-0000-0E00-00004002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576</xdr:row>
      <xdr:rowOff>0</xdr:rowOff>
    </xdr:from>
    <xdr:ext cx="381000" cy="381000"/>
    <xdr:pic>
      <xdr:nvPicPr>
        <xdr:cNvPr id="577" name="image22.jpg">
          <a:extLst>
            <a:ext uri="{FF2B5EF4-FFF2-40B4-BE49-F238E27FC236}">
              <a16:creationId xmlns:a16="http://schemas.microsoft.com/office/drawing/2014/main" id="{00000000-0008-0000-0E00-00004102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577</xdr:row>
      <xdr:rowOff>0</xdr:rowOff>
    </xdr:from>
    <xdr:ext cx="381000" cy="381000"/>
    <xdr:pic>
      <xdr:nvPicPr>
        <xdr:cNvPr id="578" name="image22.jpg">
          <a:extLst>
            <a:ext uri="{FF2B5EF4-FFF2-40B4-BE49-F238E27FC236}">
              <a16:creationId xmlns:a16="http://schemas.microsoft.com/office/drawing/2014/main" id="{00000000-0008-0000-0E00-00004202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578</xdr:row>
      <xdr:rowOff>0</xdr:rowOff>
    </xdr:from>
    <xdr:ext cx="381000" cy="381000"/>
    <xdr:pic>
      <xdr:nvPicPr>
        <xdr:cNvPr id="579" name="image46.jpg">
          <a:extLst>
            <a:ext uri="{FF2B5EF4-FFF2-40B4-BE49-F238E27FC236}">
              <a16:creationId xmlns:a16="http://schemas.microsoft.com/office/drawing/2014/main" id="{00000000-0008-0000-0E00-000043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579</xdr:row>
      <xdr:rowOff>0</xdr:rowOff>
    </xdr:from>
    <xdr:ext cx="381000" cy="381000"/>
    <xdr:pic>
      <xdr:nvPicPr>
        <xdr:cNvPr id="580" name="image46.jpg">
          <a:extLst>
            <a:ext uri="{FF2B5EF4-FFF2-40B4-BE49-F238E27FC236}">
              <a16:creationId xmlns:a16="http://schemas.microsoft.com/office/drawing/2014/main" id="{00000000-0008-0000-0E00-000044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580</xdr:row>
      <xdr:rowOff>0</xdr:rowOff>
    </xdr:from>
    <xdr:ext cx="381000" cy="381000"/>
    <xdr:pic>
      <xdr:nvPicPr>
        <xdr:cNvPr id="581" name="image46.jpg">
          <a:extLst>
            <a:ext uri="{FF2B5EF4-FFF2-40B4-BE49-F238E27FC236}">
              <a16:creationId xmlns:a16="http://schemas.microsoft.com/office/drawing/2014/main" id="{00000000-0008-0000-0E00-000045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581</xdr:row>
      <xdr:rowOff>0</xdr:rowOff>
    </xdr:from>
    <xdr:ext cx="381000" cy="381000"/>
    <xdr:pic>
      <xdr:nvPicPr>
        <xdr:cNvPr id="582" name="image46.jpg">
          <a:extLst>
            <a:ext uri="{FF2B5EF4-FFF2-40B4-BE49-F238E27FC236}">
              <a16:creationId xmlns:a16="http://schemas.microsoft.com/office/drawing/2014/main" id="{00000000-0008-0000-0E00-000046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582</xdr:row>
      <xdr:rowOff>0</xdr:rowOff>
    </xdr:from>
    <xdr:ext cx="381000" cy="381000"/>
    <xdr:pic>
      <xdr:nvPicPr>
        <xdr:cNvPr id="583" name="image46.jpg">
          <a:extLst>
            <a:ext uri="{FF2B5EF4-FFF2-40B4-BE49-F238E27FC236}">
              <a16:creationId xmlns:a16="http://schemas.microsoft.com/office/drawing/2014/main" id="{00000000-0008-0000-0E00-000047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583</xdr:row>
      <xdr:rowOff>0</xdr:rowOff>
    </xdr:from>
    <xdr:ext cx="381000" cy="381000"/>
    <xdr:pic>
      <xdr:nvPicPr>
        <xdr:cNvPr id="584" name="image46.jpg">
          <a:extLst>
            <a:ext uri="{FF2B5EF4-FFF2-40B4-BE49-F238E27FC236}">
              <a16:creationId xmlns:a16="http://schemas.microsoft.com/office/drawing/2014/main" id="{00000000-0008-0000-0E00-000048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584</xdr:row>
      <xdr:rowOff>0</xdr:rowOff>
    </xdr:from>
    <xdr:ext cx="381000" cy="381000"/>
    <xdr:pic>
      <xdr:nvPicPr>
        <xdr:cNvPr id="585" name="image46.jpg">
          <a:extLst>
            <a:ext uri="{FF2B5EF4-FFF2-40B4-BE49-F238E27FC236}">
              <a16:creationId xmlns:a16="http://schemas.microsoft.com/office/drawing/2014/main" id="{00000000-0008-0000-0E00-000049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585</xdr:row>
      <xdr:rowOff>0</xdr:rowOff>
    </xdr:from>
    <xdr:ext cx="381000" cy="381000"/>
    <xdr:pic>
      <xdr:nvPicPr>
        <xdr:cNvPr id="586" name="image46.jpg">
          <a:extLst>
            <a:ext uri="{FF2B5EF4-FFF2-40B4-BE49-F238E27FC236}">
              <a16:creationId xmlns:a16="http://schemas.microsoft.com/office/drawing/2014/main" id="{00000000-0008-0000-0E00-00004A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586</xdr:row>
      <xdr:rowOff>0</xdr:rowOff>
    </xdr:from>
    <xdr:ext cx="381000" cy="381000"/>
    <xdr:pic>
      <xdr:nvPicPr>
        <xdr:cNvPr id="587" name="image46.jpg">
          <a:extLst>
            <a:ext uri="{FF2B5EF4-FFF2-40B4-BE49-F238E27FC236}">
              <a16:creationId xmlns:a16="http://schemas.microsoft.com/office/drawing/2014/main" id="{00000000-0008-0000-0E00-00004B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587</xdr:row>
      <xdr:rowOff>0</xdr:rowOff>
    </xdr:from>
    <xdr:ext cx="381000" cy="381000"/>
    <xdr:pic>
      <xdr:nvPicPr>
        <xdr:cNvPr id="588" name="image46.jpg">
          <a:extLst>
            <a:ext uri="{FF2B5EF4-FFF2-40B4-BE49-F238E27FC236}">
              <a16:creationId xmlns:a16="http://schemas.microsoft.com/office/drawing/2014/main" id="{00000000-0008-0000-0E00-00004C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588</xdr:row>
      <xdr:rowOff>0</xdr:rowOff>
    </xdr:from>
    <xdr:ext cx="381000" cy="381000"/>
    <xdr:pic>
      <xdr:nvPicPr>
        <xdr:cNvPr id="589" name="image46.jpg">
          <a:extLst>
            <a:ext uri="{FF2B5EF4-FFF2-40B4-BE49-F238E27FC236}">
              <a16:creationId xmlns:a16="http://schemas.microsoft.com/office/drawing/2014/main" id="{00000000-0008-0000-0E00-00004D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589</xdr:row>
      <xdr:rowOff>0</xdr:rowOff>
    </xdr:from>
    <xdr:ext cx="381000" cy="381000"/>
    <xdr:pic>
      <xdr:nvPicPr>
        <xdr:cNvPr id="590" name="image46.jpg">
          <a:extLst>
            <a:ext uri="{FF2B5EF4-FFF2-40B4-BE49-F238E27FC236}">
              <a16:creationId xmlns:a16="http://schemas.microsoft.com/office/drawing/2014/main" id="{00000000-0008-0000-0E00-00004E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590</xdr:row>
      <xdr:rowOff>0</xdr:rowOff>
    </xdr:from>
    <xdr:ext cx="381000" cy="381000"/>
    <xdr:pic>
      <xdr:nvPicPr>
        <xdr:cNvPr id="591" name="image46.jpg">
          <a:extLst>
            <a:ext uri="{FF2B5EF4-FFF2-40B4-BE49-F238E27FC236}">
              <a16:creationId xmlns:a16="http://schemas.microsoft.com/office/drawing/2014/main" id="{00000000-0008-0000-0E00-00004F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591</xdr:row>
      <xdr:rowOff>0</xdr:rowOff>
    </xdr:from>
    <xdr:ext cx="381000" cy="381000"/>
    <xdr:pic>
      <xdr:nvPicPr>
        <xdr:cNvPr id="592" name="image46.jpg">
          <a:extLst>
            <a:ext uri="{FF2B5EF4-FFF2-40B4-BE49-F238E27FC236}">
              <a16:creationId xmlns:a16="http://schemas.microsoft.com/office/drawing/2014/main" id="{00000000-0008-0000-0E00-000050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592</xdr:row>
      <xdr:rowOff>0</xdr:rowOff>
    </xdr:from>
    <xdr:ext cx="381000" cy="381000"/>
    <xdr:pic>
      <xdr:nvPicPr>
        <xdr:cNvPr id="593" name="image46.jpg">
          <a:extLst>
            <a:ext uri="{FF2B5EF4-FFF2-40B4-BE49-F238E27FC236}">
              <a16:creationId xmlns:a16="http://schemas.microsoft.com/office/drawing/2014/main" id="{00000000-0008-0000-0E00-000051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593</xdr:row>
      <xdr:rowOff>0</xdr:rowOff>
    </xdr:from>
    <xdr:ext cx="381000" cy="381000"/>
    <xdr:pic>
      <xdr:nvPicPr>
        <xdr:cNvPr id="594" name="image46.jpg">
          <a:extLst>
            <a:ext uri="{FF2B5EF4-FFF2-40B4-BE49-F238E27FC236}">
              <a16:creationId xmlns:a16="http://schemas.microsoft.com/office/drawing/2014/main" id="{00000000-0008-0000-0E00-000052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594</xdr:row>
      <xdr:rowOff>0</xdr:rowOff>
    </xdr:from>
    <xdr:ext cx="381000" cy="381000"/>
    <xdr:pic>
      <xdr:nvPicPr>
        <xdr:cNvPr id="595" name="image46.jpg">
          <a:extLst>
            <a:ext uri="{FF2B5EF4-FFF2-40B4-BE49-F238E27FC236}">
              <a16:creationId xmlns:a16="http://schemas.microsoft.com/office/drawing/2014/main" id="{00000000-0008-0000-0E00-000053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595</xdr:row>
      <xdr:rowOff>0</xdr:rowOff>
    </xdr:from>
    <xdr:ext cx="381000" cy="381000"/>
    <xdr:pic>
      <xdr:nvPicPr>
        <xdr:cNvPr id="596" name="image46.jpg">
          <a:extLst>
            <a:ext uri="{FF2B5EF4-FFF2-40B4-BE49-F238E27FC236}">
              <a16:creationId xmlns:a16="http://schemas.microsoft.com/office/drawing/2014/main" id="{00000000-0008-0000-0E00-000054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596</xdr:row>
      <xdr:rowOff>0</xdr:rowOff>
    </xdr:from>
    <xdr:ext cx="381000" cy="381000"/>
    <xdr:pic>
      <xdr:nvPicPr>
        <xdr:cNvPr id="597" name="image46.jpg">
          <a:extLst>
            <a:ext uri="{FF2B5EF4-FFF2-40B4-BE49-F238E27FC236}">
              <a16:creationId xmlns:a16="http://schemas.microsoft.com/office/drawing/2014/main" id="{00000000-0008-0000-0E00-000055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597</xdr:row>
      <xdr:rowOff>0</xdr:rowOff>
    </xdr:from>
    <xdr:ext cx="381000" cy="381000"/>
    <xdr:pic>
      <xdr:nvPicPr>
        <xdr:cNvPr id="598" name="image46.jpg">
          <a:extLst>
            <a:ext uri="{FF2B5EF4-FFF2-40B4-BE49-F238E27FC236}">
              <a16:creationId xmlns:a16="http://schemas.microsoft.com/office/drawing/2014/main" id="{00000000-0008-0000-0E00-000056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598</xdr:row>
      <xdr:rowOff>0</xdr:rowOff>
    </xdr:from>
    <xdr:ext cx="381000" cy="381000"/>
    <xdr:pic>
      <xdr:nvPicPr>
        <xdr:cNvPr id="599" name="image46.jpg">
          <a:extLst>
            <a:ext uri="{FF2B5EF4-FFF2-40B4-BE49-F238E27FC236}">
              <a16:creationId xmlns:a16="http://schemas.microsoft.com/office/drawing/2014/main" id="{00000000-0008-0000-0E00-00005702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599</xdr:row>
      <xdr:rowOff>0</xdr:rowOff>
    </xdr:from>
    <xdr:ext cx="381000" cy="381000"/>
    <xdr:pic>
      <xdr:nvPicPr>
        <xdr:cNvPr id="600" name="image205.jpg">
          <a:extLst>
            <a:ext uri="{FF2B5EF4-FFF2-40B4-BE49-F238E27FC236}">
              <a16:creationId xmlns:a16="http://schemas.microsoft.com/office/drawing/2014/main" id="{00000000-0008-0000-0E00-000058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600</xdr:row>
      <xdr:rowOff>0</xdr:rowOff>
    </xdr:from>
    <xdr:ext cx="381000" cy="381000"/>
    <xdr:pic>
      <xdr:nvPicPr>
        <xdr:cNvPr id="601" name="image205.jpg">
          <a:extLst>
            <a:ext uri="{FF2B5EF4-FFF2-40B4-BE49-F238E27FC236}">
              <a16:creationId xmlns:a16="http://schemas.microsoft.com/office/drawing/2014/main" id="{00000000-0008-0000-0E00-000059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601</xdr:row>
      <xdr:rowOff>0</xdr:rowOff>
    </xdr:from>
    <xdr:ext cx="381000" cy="381000"/>
    <xdr:pic>
      <xdr:nvPicPr>
        <xdr:cNvPr id="602" name="image205.jpg">
          <a:extLst>
            <a:ext uri="{FF2B5EF4-FFF2-40B4-BE49-F238E27FC236}">
              <a16:creationId xmlns:a16="http://schemas.microsoft.com/office/drawing/2014/main" id="{00000000-0008-0000-0E00-00005A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602</xdr:row>
      <xdr:rowOff>0</xdr:rowOff>
    </xdr:from>
    <xdr:ext cx="381000" cy="381000"/>
    <xdr:pic>
      <xdr:nvPicPr>
        <xdr:cNvPr id="603" name="image205.jpg">
          <a:extLst>
            <a:ext uri="{FF2B5EF4-FFF2-40B4-BE49-F238E27FC236}">
              <a16:creationId xmlns:a16="http://schemas.microsoft.com/office/drawing/2014/main" id="{00000000-0008-0000-0E00-00005B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603</xdr:row>
      <xdr:rowOff>0</xdr:rowOff>
    </xdr:from>
    <xdr:ext cx="381000" cy="381000"/>
    <xdr:pic>
      <xdr:nvPicPr>
        <xdr:cNvPr id="604" name="image205.jpg">
          <a:extLst>
            <a:ext uri="{FF2B5EF4-FFF2-40B4-BE49-F238E27FC236}">
              <a16:creationId xmlns:a16="http://schemas.microsoft.com/office/drawing/2014/main" id="{00000000-0008-0000-0E00-00005C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604</xdr:row>
      <xdr:rowOff>0</xdr:rowOff>
    </xdr:from>
    <xdr:ext cx="381000" cy="381000"/>
    <xdr:pic>
      <xdr:nvPicPr>
        <xdr:cNvPr id="605" name="image205.jpg">
          <a:extLst>
            <a:ext uri="{FF2B5EF4-FFF2-40B4-BE49-F238E27FC236}">
              <a16:creationId xmlns:a16="http://schemas.microsoft.com/office/drawing/2014/main" id="{00000000-0008-0000-0E00-00005D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605</xdr:row>
      <xdr:rowOff>0</xdr:rowOff>
    </xdr:from>
    <xdr:ext cx="381000" cy="381000"/>
    <xdr:pic>
      <xdr:nvPicPr>
        <xdr:cNvPr id="606" name="image205.jpg">
          <a:extLst>
            <a:ext uri="{FF2B5EF4-FFF2-40B4-BE49-F238E27FC236}">
              <a16:creationId xmlns:a16="http://schemas.microsoft.com/office/drawing/2014/main" id="{00000000-0008-0000-0E00-00005E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606</xdr:row>
      <xdr:rowOff>0</xdr:rowOff>
    </xdr:from>
    <xdr:ext cx="381000" cy="381000"/>
    <xdr:pic>
      <xdr:nvPicPr>
        <xdr:cNvPr id="607" name="image205.jpg">
          <a:extLst>
            <a:ext uri="{FF2B5EF4-FFF2-40B4-BE49-F238E27FC236}">
              <a16:creationId xmlns:a16="http://schemas.microsoft.com/office/drawing/2014/main" id="{00000000-0008-0000-0E00-00005F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607</xdr:row>
      <xdr:rowOff>0</xdr:rowOff>
    </xdr:from>
    <xdr:ext cx="381000" cy="381000"/>
    <xdr:pic>
      <xdr:nvPicPr>
        <xdr:cNvPr id="608" name="image205.jpg">
          <a:extLst>
            <a:ext uri="{FF2B5EF4-FFF2-40B4-BE49-F238E27FC236}">
              <a16:creationId xmlns:a16="http://schemas.microsoft.com/office/drawing/2014/main" id="{00000000-0008-0000-0E00-000060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608</xdr:row>
      <xdr:rowOff>0</xdr:rowOff>
    </xdr:from>
    <xdr:ext cx="381000" cy="381000"/>
    <xdr:pic>
      <xdr:nvPicPr>
        <xdr:cNvPr id="609" name="image205.jpg">
          <a:extLst>
            <a:ext uri="{FF2B5EF4-FFF2-40B4-BE49-F238E27FC236}">
              <a16:creationId xmlns:a16="http://schemas.microsoft.com/office/drawing/2014/main" id="{00000000-0008-0000-0E00-000061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609</xdr:row>
      <xdr:rowOff>0</xdr:rowOff>
    </xdr:from>
    <xdr:ext cx="381000" cy="381000"/>
    <xdr:pic>
      <xdr:nvPicPr>
        <xdr:cNvPr id="610" name="image205.jpg">
          <a:extLst>
            <a:ext uri="{FF2B5EF4-FFF2-40B4-BE49-F238E27FC236}">
              <a16:creationId xmlns:a16="http://schemas.microsoft.com/office/drawing/2014/main" id="{00000000-0008-0000-0E00-000062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610</xdr:row>
      <xdr:rowOff>0</xdr:rowOff>
    </xdr:from>
    <xdr:ext cx="381000" cy="381000"/>
    <xdr:pic>
      <xdr:nvPicPr>
        <xdr:cNvPr id="611" name="image205.jpg">
          <a:extLst>
            <a:ext uri="{FF2B5EF4-FFF2-40B4-BE49-F238E27FC236}">
              <a16:creationId xmlns:a16="http://schemas.microsoft.com/office/drawing/2014/main" id="{00000000-0008-0000-0E00-000063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611</xdr:row>
      <xdr:rowOff>0</xdr:rowOff>
    </xdr:from>
    <xdr:ext cx="381000" cy="381000"/>
    <xdr:pic>
      <xdr:nvPicPr>
        <xdr:cNvPr id="612" name="image205.jpg">
          <a:extLst>
            <a:ext uri="{FF2B5EF4-FFF2-40B4-BE49-F238E27FC236}">
              <a16:creationId xmlns:a16="http://schemas.microsoft.com/office/drawing/2014/main" id="{00000000-0008-0000-0E00-000064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612</xdr:row>
      <xdr:rowOff>0</xdr:rowOff>
    </xdr:from>
    <xdr:ext cx="381000" cy="381000"/>
    <xdr:pic>
      <xdr:nvPicPr>
        <xdr:cNvPr id="613" name="image205.jpg">
          <a:extLst>
            <a:ext uri="{FF2B5EF4-FFF2-40B4-BE49-F238E27FC236}">
              <a16:creationId xmlns:a16="http://schemas.microsoft.com/office/drawing/2014/main" id="{00000000-0008-0000-0E00-000065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613</xdr:row>
      <xdr:rowOff>0</xdr:rowOff>
    </xdr:from>
    <xdr:ext cx="381000" cy="381000"/>
    <xdr:pic>
      <xdr:nvPicPr>
        <xdr:cNvPr id="614" name="image205.jpg">
          <a:extLst>
            <a:ext uri="{FF2B5EF4-FFF2-40B4-BE49-F238E27FC236}">
              <a16:creationId xmlns:a16="http://schemas.microsoft.com/office/drawing/2014/main" id="{00000000-0008-0000-0E00-000066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614</xdr:row>
      <xdr:rowOff>0</xdr:rowOff>
    </xdr:from>
    <xdr:ext cx="381000" cy="381000"/>
    <xdr:pic>
      <xdr:nvPicPr>
        <xdr:cNvPr id="615" name="image205.jpg">
          <a:extLst>
            <a:ext uri="{FF2B5EF4-FFF2-40B4-BE49-F238E27FC236}">
              <a16:creationId xmlns:a16="http://schemas.microsoft.com/office/drawing/2014/main" id="{00000000-0008-0000-0E00-000067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615</xdr:row>
      <xdr:rowOff>0</xdr:rowOff>
    </xdr:from>
    <xdr:ext cx="381000" cy="381000"/>
    <xdr:pic>
      <xdr:nvPicPr>
        <xdr:cNvPr id="616" name="image205.jpg">
          <a:extLst>
            <a:ext uri="{FF2B5EF4-FFF2-40B4-BE49-F238E27FC236}">
              <a16:creationId xmlns:a16="http://schemas.microsoft.com/office/drawing/2014/main" id="{00000000-0008-0000-0E00-000068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616</xdr:row>
      <xdr:rowOff>0</xdr:rowOff>
    </xdr:from>
    <xdr:ext cx="381000" cy="381000"/>
    <xdr:pic>
      <xdr:nvPicPr>
        <xdr:cNvPr id="617" name="image205.jpg">
          <a:extLst>
            <a:ext uri="{FF2B5EF4-FFF2-40B4-BE49-F238E27FC236}">
              <a16:creationId xmlns:a16="http://schemas.microsoft.com/office/drawing/2014/main" id="{00000000-0008-0000-0E00-000069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617</xdr:row>
      <xdr:rowOff>0</xdr:rowOff>
    </xdr:from>
    <xdr:ext cx="381000" cy="381000"/>
    <xdr:pic>
      <xdr:nvPicPr>
        <xdr:cNvPr id="618" name="image205.jpg">
          <a:extLst>
            <a:ext uri="{FF2B5EF4-FFF2-40B4-BE49-F238E27FC236}">
              <a16:creationId xmlns:a16="http://schemas.microsoft.com/office/drawing/2014/main" id="{00000000-0008-0000-0E00-00006A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618</xdr:row>
      <xdr:rowOff>0</xdr:rowOff>
    </xdr:from>
    <xdr:ext cx="381000" cy="381000"/>
    <xdr:pic>
      <xdr:nvPicPr>
        <xdr:cNvPr id="619" name="image205.jpg">
          <a:extLst>
            <a:ext uri="{FF2B5EF4-FFF2-40B4-BE49-F238E27FC236}">
              <a16:creationId xmlns:a16="http://schemas.microsoft.com/office/drawing/2014/main" id="{00000000-0008-0000-0E00-00006B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619</xdr:row>
      <xdr:rowOff>0</xdr:rowOff>
    </xdr:from>
    <xdr:ext cx="381000" cy="381000"/>
    <xdr:pic>
      <xdr:nvPicPr>
        <xdr:cNvPr id="620" name="image205.jpg">
          <a:extLst>
            <a:ext uri="{FF2B5EF4-FFF2-40B4-BE49-F238E27FC236}">
              <a16:creationId xmlns:a16="http://schemas.microsoft.com/office/drawing/2014/main" id="{00000000-0008-0000-0E00-00006C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620</xdr:row>
      <xdr:rowOff>0</xdr:rowOff>
    </xdr:from>
    <xdr:ext cx="381000" cy="381000"/>
    <xdr:pic>
      <xdr:nvPicPr>
        <xdr:cNvPr id="621" name="image205.jpg">
          <a:extLst>
            <a:ext uri="{FF2B5EF4-FFF2-40B4-BE49-F238E27FC236}">
              <a16:creationId xmlns:a16="http://schemas.microsoft.com/office/drawing/2014/main" id="{00000000-0008-0000-0E00-00006D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621</xdr:row>
      <xdr:rowOff>0</xdr:rowOff>
    </xdr:from>
    <xdr:ext cx="381000" cy="381000"/>
    <xdr:pic>
      <xdr:nvPicPr>
        <xdr:cNvPr id="622" name="image205.jpg">
          <a:extLst>
            <a:ext uri="{FF2B5EF4-FFF2-40B4-BE49-F238E27FC236}">
              <a16:creationId xmlns:a16="http://schemas.microsoft.com/office/drawing/2014/main" id="{00000000-0008-0000-0E00-00006E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622</xdr:row>
      <xdr:rowOff>0</xdr:rowOff>
    </xdr:from>
    <xdr:ext cx="381000" cy="381000"/>
    <xdr:pic>
      <xdr:nvPicPr>
        <xdr:cNvPr id="623" name="image205.jpg">
          <a:extLst>
            <a:ext uri="{FF2B5EF4-FFF2-40B4-BE49-F238E27FC236}">
              <a16:creationId xmlns:a16="http://schemas.microsoft.com/office/drawing/2014/main" id="{00000000-0008-0000-0E00-00006F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623</xdr:row>
      <xdr:rowOff>0</xdr:rowOff>
    </xdr:from>
    <xdr:ext cx="381000" cy="381000"/>
    <xdr:pic>
      <xdr:nvPicPr>
        <xdr:cNvPr id="624" name="image205.jpg">
          <a:extLst>
            <a:ext uri="{FF2B5EF4-FFF2-40B4-BE49-F238E27FC236}">
              <a16:creationId xmlns:a16="http://schemas.microsoft.com/office/drawing/2014/main" id="{00000000-0008-0000-0E00-000070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624</xdr:row>
      <xdr:rowOff>0</xdr:rowOff>
    </xdr:from>
    <xdr:ext cx="381000" cy="381000"/>
    <xdr:pic>
      <xdr:nvPicPr>
        <xdr:cNvPr id="625" name="image205.jpg">
          <a:extLst>
            <a:ext uri="{FF2B5EF4-FFF2-40B4-BE49-F238E27FC236}">
              <a16:creationId xmlns:a16="http://schemas.microsoft.com/office/drawing/2014/main" id="{00000000-0008-0000-0E00-000071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625</xdr:row>
      <xdr:rowOff>0</xdr:rowOff>
    </xdr:from>
    <xdr:ext cx="381000" cy="381000"/>
    <xdr:pic>
      <xdr:nvPicPr>
        <xdr:cNvPr id="626" name="image205.jpg">
          <a:extLst>
            <a:ext uri="{FF2B5EF4-FFF2-40B4-BE49-F238E27FC236}">
              <a16:creationId xmlns:a16="http://schemas.microsoft.com/office/drawing/2014/main" id="{00000000-0008-0000-0E00-000072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626</xdr:row>
      <xdr:rowOff>0</xdr:rowOff>
    </xdr:from>
    <xdr:ext cx="381000" cy="381000"/>
    <xdr:pic>
      <xdr:nvPicPr>
        <xdr:cNvPr id="627" name="image205.jpg">
          <a:extLst>
            <a:ext uri="{FF2B5EF4-FFF2-40B4-BE49-F238E27FC236}">
              <a16:creationId xmlns:a16="http://schemas.microsoft.com/office/drawing/2014/main" id="{00000000-0008-0000-0E00-000073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627</xdr:row>
      <xdr:rowOff>0</xdr:rowOff>
    </xdr:from>
    <xdr:ext cx="381000" cy="381000"/>
    <xdr:pic>
      <xdr:nvPicPr>
        <xdr:cNvPr id="628" name="image205.jpg">
          <a:extLst>
            <a:ext uri="{FF2B5EF4-FFF2-40B4-BE49-F238E27FC236}">
              <a16:creationId xmlns:a16="http://schemas.microsoft.com/office/drawing/2014/main" id="{00000000-0008-0000-0E00-000074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628</xdr:row>
      <xdr:rowOff>0</xdr:rowOff>
    </xdr:from>
    <xdr:ext cx="381000" cy="381000"/>
    <xdr:pic>
      <xdr:nvPicPr>
        <xdr:cNvPr id="629" name="image205.jpg">
          <a:extLst>
            <a:ext uri="{FF2B5EF4-FFF2-40B4-BE49-F238E27FC236}">
              <a16:creationId xmlns:a16="http://schemas.microsoft.com/office/drawing/2014/main" id="{00000000-0008-0000-0E00-000075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629</xdr:row>
      <xdr:rowOff>0</xdr:rowOff>
    </xdr:from>
    <xdr:ext cx="381000" cy="381000"/>
    <xdr:pic>
      <xdr:nvPicPr>
        <xdr:cNvPr id="630" name="image205.jpg">
          <a:extLst>
            <a:ext uri="{FF2B5EF4-FFF2-40B4-BE49-F238E27FC236}">
              <a16:creationId xmlns:a16="http://schemas.microsoft.com/office/drawing/2014/main" id="{00000000-0008-0000-0E00-000076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630</xdr:row>
      <xdr:rowOff>0</xdr:rowOff>
    </xdr:from>
    <xdr:ext cx="381000" cy="381000"/>
    <xdr:pic>
      <xdr:nvPicPr>
        <xdr:cNvPr id="631" name="image205.jpg">
          <a:extLst>
            <a:ext uri="{FF2B5EF4-FFF2-40B4-BE49-F238E27FC236}">
              <a16:creationId xmlns:a16="http://schemas.microsoft.com/office/drawing/2014/main" id="{00000000-0008-0000-0E00-000077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631</xdr:row>
      <xdr:rowOff>0</xdr:rowOff>
    </xdr:from>
    <xdr:ext cx="381000" cy="381000"/>
    <xdr:pic>
      <xdr:nvPicPr>
        <xdr:cNvPr id="632" name="image205.jpg">
          <a:extLst>
            <a:ext uri="{FF2B5EF4-FFF2-40B4-BE49-F238E27FC236}">
              <a16:creationId xmlns:a16="http://schemas.microsoft.com/office/drawing/2014/main" id="{00000000-0008-0000-0E00-000078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632</xdr:row>
      <xdr:rowOff>0</xdr:rowOff>
    </xdr:from>
    <xdr:ext cx="381000" cy="381000"/>
    <xdr:pic>
      <xdr:nvPicPr>
        <xdr:cNvPr id="633" name="image205.jpg">
          <a:extLst>
            <a:ext uri="{FF2B5EF4-FFF2-40B4-BE49-F238E27FC236}">
              <a16:creationId xmlns:a16="http://schemas.microsoft.com/office/drawing/2014/main" id="{00000000-0008-0000-0E00-000079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633</xdr:row>
      <xdr:rowOff>0</xdr:rowOff>
    </xdr:from>
    <xdr:ext cx="381000" cy="381000"/>
    <xdr:pic>
      <xdr:nvPicPr>
        <xdr:cNvPr id="634" name="image205.jpg">
          <a:extLst>
            <a:ext uri="{FF2B5EF4-FFF2-40B4-BE49-F238E27FC236}">
              <a16:creationId xmlns:a16="http://schemas.microsoft.com/office/drawing/2014/main" id="{00000000-0008-0000-0E00-00007A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634</xdr:row>
      <xdr:rowOff>0</xdr:rowOff>
    </xdr:from>
    <xdr:ext cx="381000" cy="381000"/>
    <xdr:pic>
      <xdr:nvPicPr>
        <xdr:cNvPr id="635" name="image205.jpg">
          <a:extLst>
            <a:ext uri="{FF2B5EF4-FFF2-40B4-BE49-F238E27FC236}">
              <a16:creationId xmlns:a16="http://schemas.microsoft.com/office/drawing/2014/main" id="{00000000-0008-0000-0E00-00007B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635</xdr:row>
      <xdr:rowOff>0</xdr:rowOff>
    </xdr:from>
    <xdr:ext cx="381000" cy="381000"/>
    <xdr:pic>
      <xdr:nvPicPr>
        <xdr:cNvPr id="636" name="image205.jpg">
          <a:extLst>
            <a:ext uri="{FF2B5EF4-FFF2-40B4-BE49-F238E27FC236}">
              <a16:creationId xmlns:a16="http://schemas.microsoft.com/office/drawing/2014/main" id="{00000000-0008-0000-0E00-00007C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636</xdr:row>
      <xdr:rowOff>0</xdr:rowOff>
    </xdr:from>
    <xdr:ext cx="381000" cy="381000"/>
    <xdr:pic>
      <xdr:nvPicPr>
        <xdr:cNvPr id="637" name="image205.jpg">
          <a:extLst>
            <a:ext uri="{FF2B5EF4-FFF2-40B4-BE49-F238E27FC236}">
              <a16:creationId xmlns:a16="http://schemas.microsoft.com/office/drawing/2014/main" id="{00000000-0008-0000-0E00-00007D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637</xdr:row>
      <xdr:rowOff>0</xdr:rowOff>
    </xdr:from>
    <xdr:ext cx="381000" cy="381000"/>
    <xdr:pic>
      <xdr:nvPicPr>
        <xdr:cNvPr id="638" name="image205.jpg">
          <a:extLst>
            <a:ext uri="{FF2B5EF4-FFF2-40B4-BE49-F238E27FC236}">
              <a16:creationId xmlns:a16="http://schemas.microsoft.com/office/drawing/2014/main" id="{00000000-0008-0000-0E00-00007E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638</xdr:row>
      <xdr:rowOff>0</xdr:rowOff>
    </xdr:from>
    <xdr:ext cx="381000" cy="381000"/>
    <xdr:pic>
      <xdr:nvPicPr>
        <xdr:cNvPr id="639" name="image205.jpg">
          <a:extLst>
            <a:ext uri="{FF2B5EF4-FFF2-40B4-BE49-F238E27FC236}">
              <a16:creationId xmlns:a16="http://schemas.microsoft.com/office/drawing/2014/main" id="{00000000-0008-0000-0E00-00007F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639</xdr:row>
      <xdr:rowOff>0</xdr:rowOff>
    </xdr:from>
    <xdr:ext cx="381000" cy="381000"/>
    <xdr:pic>
      <xdr:nvPicPr>
        <xdr:cNvPr id="640" name="image205.jpg">
          <a:extLst>
            <a:ext uri="{FF2B5EF4-FFF2-40B4-BE49-F238E27FC236}">
              <a16:creationId xmlns:a16="http://schemas.microsoft.com/office/drawing/2014/main" id="{00000000-0008-0000-0E00-000080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640</xdr:row>
      <xdr:rowOff>0</xdr:rowOff>
    </xdr:from>
    <xdr:ext cx="381000" cy="381000"/>
    <xdr:pic>
      <xdr:nvPicPr>
        <xdr:cNvPr id="641" name="image205.jpg">
          <a:extLst>
            <a:ext uri="{FF2B5EF4-FFF2-40B4-BE49-F238E27FC236}">
              <a16:creationId xmlns:a16="http://schemas.microsoft.com/office/drawing/2014/main" id="{00000000-0008-0000-0E00-000081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641</xdr:row>
      <xdr:rowOff>0</xdr:rowOff>
    </xdr:from>
    <xdr:ext cx="381000" cy="381000"/>
    <xdr:pic>
      <xdr:nvPicPr>
        <xdr:cNvPr id="642" name="image205.jpg">
          <a:extLst>
            <a:ext uri="{FF2B5EF4-FFF2-40B4-BE49-F238E27FC236}">
              <a16:creationId xmlns:a16="http://schemas.microsoft.com/office/drawing/2014/main" id="{00000000-0008-0000-0E00-00008202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642</xdr:row>
      <xdr:rowOff>0</xdr:rowOff>
    </xdr:from>
    <xdr:ext cx="381000" cy="381000"/>
    <xdr:pic>
      <xdr:nvPicPr>
        <xdr:cNvPr id="643" name="image126.png">
          <a:extLst>
            <a:ext uri="{FF2B5EF4-FFF2-40B4-BE49-F238E27FC236}">
              <a16:creationId xmlns:a16="http://schemas.microsoft.com/office/drawing/2014/main" id="{00000000-0008-0000-0E00-00008302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2</xdr:col>
      <xdr:colOff>0</xdr:colOff>
      <xdr:row>643</xdr:row>
      <xdr:rowOff>0</xdr:rowOff>
    </xdr:from>
    <xdr:ext cx="381000" cy="381000"/>
    <xdr:pic>
      <xdr:nvPicPr>
        <xdr:cNvPr id="644" name="image126.png">
          <a:extLst>
            <a:ext uri="{FF2B5EF4-FFF2-40B4-BE49-F238E27FC236}">
              <a16:creationId xmlns:a16="http://schemas.microsoft.com/office/drawing/2014/main" id="{00000000-0008-0000-0E00-00008402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2</xdr:col>
      <xdr:colOff>0</xdr:colOff>
      <xdr:row>644</xdr:row>
      <xdr:rowOff>0</xdr:rowOff>
    </xdr:from>
    <xdr:ext cx="381000" cy="381000"/>
    <xdr:pic>
      <xdr:nvPicPr>
        <xdr:cNvPr id="645" name="image242.jpg">
          <a:extLst>
            <a:ext uri="{FF2B5EF4-FFF2-40B4-BE49-F238E27FC236}">
              <a16:creationId xmlns:a16="http://schemas.microsoft.com/office/drawing/2014/main" id="{00000000-0008-0000-0E00-000085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645</xdr:row>
      <xdr:rowOff>0</xdr:rowOff>
    </xdr:from>
    <xdr:ext cx="381000" cy="381000"/>
    <xdr:pic>
      <xdr:nvPicPr>
        <xdr:cNvPr id="646" name="image242.jpg">
          <a:extLst>
            <a:ext uri="{FF2B5EF4-FFF2-40B4-BE49-F238E27FC236}">
              <a16:creationId xmlns:a16="http://schemas.microsoft.com/office/drawing/2014/main" id="{00000000-0008-0000-0E00-000086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646</xdr:row>
      <xdr:rowOff>0</xdr:rowOff>
    </xdr:from>
    <xdr:ext cx="381000" cy="381000"/>
    <xdr:pic>
      <xdr:nvPicPr>
        <xdr:cNvPr id="647" name="image242.jpg">
          <a:extLst>
            <a:ext uri="{FF2B5EF4-FFF2-40B4-BE49-F238E27FC236}">
              <a16:creationId xmlns:a16="http://schemas.microsoft.com/office/drawing/2014/main" id="{00000000-0008-0000-0E00-000087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647</xdr:row>
      <xdr:rowOff>0</xdr:rowOff>
    </xdr:from>
    <xdr:ext cx="381000" cy="381000"/>
    <xdr:pic>
      <xdr:nvPicPr>
        <xdr:cNvPr id="648" name="image242.jpg">
          <a:extLst>
            <a:ext uri="{FF2B5EF4-FFF2-40B4-BE49-F238E27FC236}">
              <a16:creationId xmlns:a16="http://schemas.microsoft.com/office/drawing/2014/main" id="{00000000-0008-0000-0E00-000088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648</xdr:row>
      <xdr:rowOff>0</xdr:rowOff>
    </xdr:from>
    <xdr:ext cx="381000" cy="381000"/>
    <xdr:pic>
      <xdr:nvPicPr>
        <xdr:cNvPr id="649" name="image242.jpg">
          <a:extLst>
            <a:ext uri="{FF2B5EF4-FFF2-40B4-BE49-F238E27FC236}">
              <a16:creationId xmlns:a16="http://schemas.microsoft.com/office/drawing/2014/main" id="{00000000-0008-0000-0E00-000089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649</xdr:row>
      <xdr:rowOff>0</xdr:rowOff>
    </xdr:from>
    <xdr:ext cx="381000" cy="381000"/>
    <xdr:pic>
      <xdr:nvPicPr>
        <xdr:cNvPr id="650" name="image242.jpg">
          <a:extLst>
            <a:ext uri="{FF2B5EF4-FFF2-40B4-BE49-F238E27FC236}">
              <a16:creationId xmlns:a16="http://schemas.microsoft.com/office/drawing/2014/main" id="{00000000-0008-0000-0E00-00008A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650</xdr:row>
      <xdr:rowOff>0</xdr:rowOff>
    </xdr:from>
    <xdr:ext cx="381000" cy="381000"/>
    <xdr:pic>
      <xdr:nvPicPr>
        <xdr:cNvPr id="651" name="image242.jpg">
          <a:extLst>
            <a:ext uri="{FF2B5EF4-FFF2-40B4-BE49-F238E27FC236}">
              <a16:creationId xmlns:a16="http://schemas.microsoft.com/office/drawing/2014/main" id="{00000000-0008-0000-0E00-00008B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651</xdr:row>
      <xdr:rowOff>0</xdr:rowOff>
    </xdr:from>
    <xdr:ext cx="381000" cy="381000"/>
    <xdr:pic>
      <xdr:nvPicPr>
        <xdr:cNvPr id="652" name="image242.jpg">
          <a:extLst>
            <a:ext uri="{FF2B5EF4-FFF2-40B4-BE49-F238E27FC236}">
              <a16:creationId xmlns:a16="http://schemas.microsoft.com/office/drawing/2014/main" id="{00000000-0008-0000-0E00-00008C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652</xdr:row>
      <xdr:rowOff>0</xdr:rowOff>
    </xdr:from>
    <xdr:ext cx="381000" cy="381000"/>
    <xdr:pic>
      <xdr:nvPicPr>
        <xdr:cNvPr id="653" name="image242.jpg">
          <a:extLst>
            <a:ext uri="{FF2B5EF4-FFF2-40B4-BE49-F238E27FC236}">
              <a16:creationId xmlns:a16="http://schemas.microsoft.com/office/drawing/2014/main" id="{00000000-0008-0000-0E00-00008D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653</xdr:row>
      <xdr:rowOff>0</xdr:rowOff>
    </xdr:from>
    <xdr:ext cx="381000" cy="381000"/>
    <xdr:pic>
      <xdr:nvPicPr>
        <xdr:cNvPr id="654" name="image242.jpg">
          <a:extLst>
            <a:ext uri="{FF2B5EF4-FFF2-40B4-BE49-F238E27FC236}">
              <a16:creationId xmlns:a16="http://schemas.microsoft.com/office/drawing/2014/main" id="{00000000-0008-0000-0E00-00008E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654</xdr:row>
      <xdr:rowOff>0</xdr:rowOff>
    </xdr:from>
    <xdr:ext cx="381000" cy="381000"/>
    <xdr:pic>
      <xdr:nvPicPr>
        <xdr:cNvPr id="655" name="image242.jpg">
          <a:extLst>
            <a:ext uri="{FF2B5EF4-FFF2-40B4-BE49-F238E27FC236}">
              <a16:creationId xmlns:a16="http://schemas.microsoft.com/office/drawing/2014/main" id="{00000000-0008-0000-0E00-00008F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655</xdr:row>
      <xdr:rowOff>0</xdr:rowOff>
    </xdr:from>
    <xdr:ext cx="381000" cy="381000"/>
    <xdr:pic>
      <xdr:nvPicPr>
        <xdr:cNvPr id="656" name="image242.jpg">
          <a:extLst>
            <a:ext uri="{FF2B5EF4-FFF2-40B4-BE49-F238E27FC236}">
              <a16:creationId xmlns:a16="http://schemas.microsoft.com/office/drawing/2014/main" id="{00000000-0008-0000-0E00-000090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656</xdr:row>
      <xdr:rowOff>0</xdr:rowOff>
    </xdr:from>
    <xdr:ext cx="381000" cy="381000"/>
    <xdr:pic>
      <xdr:nvPicPr>
        <xdr:cNvPr id="657" name="image242.jpg">
          <a:extLst>
            <a:ext uri="{FF2B5EF4-FFF2-40B4-BE49-F238E27FC236}">
              <a16:creationId xmlns:a16="http://schemas.microsoft.com/office/drawing/2014/main" id="{00000000-0008-0000-0E00-000091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657</xdr:row>
      <xdr:rowOff>0</xdr:rowOff>
    </xdr:from>
    <xdr:ext cx="381000" cy="381000"/>
    <xdr:pic>
      <xdr:nvPicPr>
        <xdr:cNvPr id="658" name="image242.jpg">
          <a:extLst>
            <a:ext uri="{FF2B5EF4-FFF2-40B4-BE49-F238E27FC236}">
              <a16:creationId xmlns:a16="http://schemas.microsoft.com/office/drawing/2014/main" id="{00000000-0008-0000-0E00-000092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658</xdr:row>
      <xdr:rowOff>0</xdr:rowOff>
    </xdr:from>
    <xdr:ext cx="381000" cy="381000"/>
    <xdr:pic>
      <xdr:nvPicPr>
        <xdr:cNvPr id="659" name="image242.jpg">
          <a:extLst>
            <a:ext uri="{FF2B5EF4-FFF2-40B4-BE49-F238E27FC236}">
              <a16:creationId xmlns:a16="http://schemas.microsoft.com/office/drawing/2014/main" id="{00000000-0008-0000-0E00-000093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659</xdr:row>
      <xdr:rowOff>0</xdr:rowOff>
    </xdr:from>
    <xdr:ext cx="381000" cy="381000"/>
    <xdr:pic>
      <xdr:nvPicPr>
        <xdr:cNvPr id="660" name="image242.jpg">
          <a:extLst>
            <a:ext uri="{FF2B5EF4-FFF2-40B4-BE49-F238E27FC236}">
              <a16:creationId xmlns:a16="http://schemas.microsoft.com/office/drawing/2014/main" id="{00000000-0008-0000-0E00-000094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660</xdr:row>
      <xdr:rowOff>0</xdr:rowOff>
    </xdr:from>
    <xdr:ext cx="381000" cy="381000"/>
    <xdr:pic>
      <xdr:nvPicPr>
        <xdr:cNvPr id="661" name="image242.jpg">
          <a:extLst>
            <a:ext uri="{FF2B5EF4-FFF2-40B4-BE49-F238E27FC236}">
              <a16:creationId xmlns:a16="http://schemas.microsoft.com/office/drawing/2014/main" id="{00000000-0008-0000-0E00-000095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661</xdr:row>
      <xdr:rowOff>0</xdr:rowOff>
    </xdr:from>
    <xdr:ext cx="381000" cy="381000"/>
    <xdr:pic>
      <xdr:nvPicPr>
        <xdr:cNvPr id="662" name="image242.jpg">
          <a:extLst>
            <a:ext uri="{FF2B5EF4-FFF2-40B4-BE49-F238E27FC236}">
              <a16:creationId xmlns:a16="http://schemas.microsoft.com/office/drawing/2014/main" id="{00000000-0008-0000-0E00-000096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662</xdr:row>
      <xdr:rowOff>0</xdr:rowOff>
    </xdr:from>
    <xdr:ext cx="381000" cy="381000"/>
    <xdr:pic>
      <xdr:nvPicPr>
        <xdr:cNvPr id="663" name="image242.jpg">
          <a:extLst>
            <a:ext uri="{FF2B5EF4-FFF2-40B4-BE49-F238E27FC236}">
              <a16:creationId xmlns:a16="http://schemas.microsoft.com/office/drawing/2014/main" id="{00000000-0008-0000-0E00-000097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663</xdr:row>
      <xdr:rowOff>0</xdr:rowOff>
    </xdr:from>
    <xdr:ext cx="381000" cy="381000"/>
    <xdr:pic>
      <xdr:nvPicPr>
        <xdr:cNvPr id="664" name="image242.jpg">
          <a:extLst>
            <a:ext uri="{FF2B5EF4-FFF2-40B4-BE49-F238E27FC236}">
              <a16:creationId xmlns:a16="http://schemas.microsoft.com/office/drawing/2014/main" id="{00000000-0008-0000-0E00-000098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664</xdr:row>
      <xdr:rowOff>0</xdr:rowOff>
    </xdr:from>
    <xdr:ext cx="381000" cy="381000"/>
    <xdr:pic>
      <xdr:nvPicPr>
        <xdr:cNvPr id="665" name="image242.jpg">
          <a:extLst>
            <a:ext uri="{FF2B5EF4-FFF2-40B4-BE49-F238E27FC236}">
              <a16:creationId xmlns:a16="http://schemas.microsoft.com/office/drawing/2014/main" id="{00000000-0008-0000-0E00-000099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665</xdr:row>
      <xdr:rowOff>0</xdr:rowOff>
    </xdr:from>
    <xdr:ext cx="381000" cy="381000"/>
    <xdr:pic>
      <xdr:nvPicPr>
        <xdr:cNvPr id="666" name="image242.jpg">
          <a:extLst>
            <a:ext uri="{FF2B5EF4-FFF2-40B4-BE49-F238E27FC236}">
              <a16:creationId xmlns:a16="http://schemas.microsoft.com/office/drawing/2014/main" id="{00000000-0008-0000-0E00-00009A02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666</xdr:row>
      <xdr:rowOff>0</xdr:rowOff>
    </xdr:from>
    <xdr:ext cx="381000" cy="381000"/>
    <xdr:pic>
      <xdr:nvPicPr>
        <xdr:cNvPr id="667" name="image35.jpg">
          <a:extLst>
            <a:ext uri="{FF2B5EF4-FFF2-40B4-BE49-F238E27FC236}">
              <a16:creationId xmlns:a16="http://schemas.microsoft.com/office/drawing/2014/main" id="{00000000-0008-0000-0E00-00009B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667</xdr:row>
      <xdr:rowOff>0</xdr:rowOff>
    </xdr:from>
    <xdr:ext cx="381000" cy="381000"/>
    <xdr:pic>
      <xdr:nvPicPr>
        <xdr:cNvPr id="668" name="image35.jpg">
          <a:extLst>
            <a:ext uri="{FF2B5EF4-FFF2-40B4-BE49-F238E27FC236}">
              <a16:creationId xmlns:a16="http://schemas.microsoft.com/office/drawing/2014/main" id="{00000000-0008-0000-0E00-00009C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668</xdr:row>
      <xdr:rowOff>0</xdr:rowOff>
    </xdr:from>
    <xdr:ext cx="381000" cy="381000"/>
    <xdr:pic>
      <xdr:nvPicPr>
        <xdr:cNvPr id="669" name="image35.jpg">
          <a:extLst>
            <a:ext uri="{FF2B5EF4-FFF2-40B4-BE49-F238E27FC236}">
              <a16:creationId xmlns:a16="http://schemas.microsoft.com/office/drawing/2014/main" id="{00000000-0008-0000-0E00-00009D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669</xdr:row>
      <xdr:rowOff>0</xdr:rowOff>
    </xdr:from>
    <xdr:ext cx="381000" cy="381000"/>
    <xdr:pic>
      <xdr:nvPicPr>
        <xdr:cNvPr id="670" name="image35.jpg">
          <a:extLst>
            <a:ext uri="{FF2B5EF4-FFF2-40B4-BE49-F238E27FC236}">
              <a16:creationId xmlns:a16="http://schemas.microsoft.com/office/drawing/2014/main" id="{00000000-0008-0000-0E00-00009E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670</xdr:row>
      <xdr:rowOff>0</xdr:rowOff>
    </xdr:from>
    <xdr:ext cx="381000" cy="381000"/>
    <xdr:pic>
      <xdr:nvPicPr>
        <xdr:cNvPr id="671" name="image35.jpg">
          <a:extLst>
            <a:ext uri="{FF2B5EF4-FFF2-40B4-BE49-F238E27FC236}">
              <a16:creationId xmlns:a16="http://schemas.microsoft.com/office/drawing/2014/main" id="{00000000-0008-0000-0E00-00009F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671</xdr:row>
      <xdr:rowOff>0</xdr:rowOff>
    </xdr:from>
    <xdr:ext cx="381000" cy="381000"/>
    <xdr:pic>
      <xdr:nvPicPr>
        <xdr:cNvPr id="672" name="image35.jpg">
          <a:extLst>
            <a:ext uri="{FF2B5EF4-FFF2-40B4-BE49-F238E27FC236}">
              <a16:creationId xmlns:a16="http://schemas.microsoft.com/office/drawing/2014/main" id="{00000000-0008-0000-0E00-0000A0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672</xdr:row>
      <xdr:rowOff>0</xdr:rowOff>
    </xdr:from>
    <xdr:ext cx="381000" cy="381000"/>
    <xdr:pic>
      <xdr:nvPicPr>
        <xdr:cNvPr id="673" name="image35.jpg">
          <a:extLst>
            <a:ext uri="{FF2B5EF4-FFF2-40B4-BE49-F238E27FC236}">
              <a16:creationId xmlns:a16="http://schemas.microsoft.com/office/drawing/2014/main" id="{00000000-0008-0000-0E00-0000A1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673</xdr:row>
      <xdr:rowOff>0</xdr:rowOff>
    </xdr:from>
    <xdr:ext cx="381000" cy="381000"/>
    <xdr:pic>
      <xdr:nvPicPr>
        <xdr:cNvPr id="674" name="image35.jpg">
          <a:extLst>
            <a:ext uri="{FF2B5EF4-FFF2-40B4-BE49-F238E27FC236}">
              <a16:creationId xmlns:a16="http://schemas.microsoft.com/office/drawing/2014/main" id="{00000000-0008-0000-0E00-0000A2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674</xdr:row>
      <xdr:rowOff>0</xdr:rowOff>
    </xdr:from>
    <xdr:ext cx="381000" cy="381000"/>
    <xdr:pic>
      <xdr:nvPicPr>
        <xdr:cNvPr id="675" name="image35.jpg">
          <a:extLst>
            <a:ext uri="{FF2B5EF4-FFF2-40B4-BE49-F238E27FC236}">
              <a16:creationId xmlns:a16="http://schemas.microsoft.com/office/drawing/2014/main" id="{00000000-0008-0000-0E00-0000A3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675</xdr:row>
      <xdr:rowOff>0</xdr:rowOff>
    </xdr:from>
    <xdr:ext cx="381000" cy="381000"/>
    <xdr:pic>
      <xdr:nvPicPr>
        <xdr:cNvPr id="676" name="image35.jpg">
          <a:extLst>
            <a:ext uri="{FF2B5EF4-FFF2-40B4-BE49-F238E27FC236}">
              <a16:creationId xmlns:a16="http://schemas.microsoft.com/office/drawing/2014/main" id="{00000000-0008-0000-0E00-0000A4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676</xdr:row>
      <xdr:rowOff>0</xdr:rowOff>
    </xdr:from>
    <xdr:ext cx="381000" cy="381000"/>
    <xdr:pic>
      <xdr:nvPicPr>
        <xdr:cNvPr id="677" name="image35.jpg">
          <a:extLst>
            <a:ext uri="{FF2B5EF4-FFF2-40B4-BE49-F238E27FC236}">
              <a16:creationId xmlns:a16="http://schemas.microsoft.com/office/drawing/2014/main" id="{00000000-0008-0000-0E00-0000A5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677</xdr:row>
      <xdr:rowOff>0</xdr:rowOff>
    </xdr:from>
    <xdr:ext cx="381000" cy="381000"/>
    <xdr:pic>
      <xdr:nvPicPr>
        <xdr:cNvPr id="678" name="image35.jpg">
          <a:extLst>
            <a:ext uri="{FF2B5EF4-FFF2-40B4-BE49-F238E27FC236}">
              <a16:creationId xmlns:a16="http://schemas.microsoft.com/office/drawing/2014/main" id="{00000000-0008-0000-0E00-0000A6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678</xdr:row>
      <xdr:rowOff>0</xdr:rowOff>
    </xdr:from>
    <xdr:ext cx="381000" cy="381000"/>
    <xdr:pic>
      <xdr:nvPicPr>
        <xdr:cNvPr id="679" name="image35.jpg">
          <a:extLst>
            <a:ext uri="{FF2B5EF4-FFF2-40B4-BE49-F238E27FC236}">
              <a16:creationId xmlns:a16="http://schemas.microsoft.com/office/drawing/2014/main" id="{00000000-0008-0000-0E00-0000A7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679</xdr:row>
      <xdr:rowOff>0</xdr:rowOff>
    </xdr:from>
    <xdr:ext cx="381000" cy="381000"/>
    <xdr:pic>
      <xdr:nvPicPr>
        <xdr:cNvPr id="680" name="image35.jpg">
          <a:extLst>
            <a:ext uri="{FF2B5EF4-FFF2-40B4-BE49-F238E27FC236}">
              <a16:creationId xmlns:a16="http://schemas.microsoft.com/office/drawing/2014/main" id="{00000000-0008-0000-0E00-0000A8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680</xdr:row>
      <xdr:rowOff>0</xdr:rowOff>
    </xdr:from>
    <xdr:ext cx="381000" cy="381000"/>
    <xdr:pic>
      <xdr:nvPicPr>
        <xdr:cNvPr id="681" name="image35.jpg">
          <a:extLst>
            <a:ext uri="{FF2B5EF4-FFF2-40B4-BE49-F238E27FC236}">
              <a16:creationId xmlns:a16="http://schemas.microsoft.com/office/drawing/2014/main" id="{00000000-0008-0000-0E00-0000A9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681</xdr:row>
      <xdr:rowOff>0</xdr:rowOff>
    </xdr:from>
    <xdr:ext cx="381000" cy="381000"/>
    <xdr:pic>
      <xdr:nvPicPr>
        <xdr:cNvPr id="682" name="image35.jpg">
          <a:extLst>
            <a:ext uri="{FF2B5EF4-FFF2-40B4-BE49-F238E27FC236}">
              <a16:creationId xmlns:a16="http://schemas.microsoft.com/office/drawing/2014/main" id="{00000000-0008-0000-0E00-0000AA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682</xdr:row>
      <xdr:rowOff>0</xdr:rowOff>
    </xdr:from>
    <xdr:ext cx="381000" cy="381000"/>
    <xdr:pic>
      <xdr:nvPicPr>
        <xdr:cNvPr id="683" name="image35.jpg">
          <a:extLst>
            <a:ext uri="{FF2B5EF4-FFF2-40B4-BE49-F238E27FC236}">
              <a16:creationId xmlns:a16="http://schemas.microsoft.com/office/drawing/2014/main" id="{00000000-0008-0000-0E00-0000AB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683</xdr:row>
      <xdr:rowOff>0</xdr:rowOff>
    </xdr:from>
    <xdr:ext cx="381000" cy="381000"/>
    <xdr:pic>
      <xdr:nvPicPr>
        <xdr:cNvPr id="684" name="image35.jpg">
          <a:extLst>
            <a:ext uri="{FF2B5EF4-FFF2-40B4-BE49-F238E27FC236}">
              <a16:creationId xmlns:a16="http://schemas.microsoft.com/office/drawing/2014/main" id="{00000000-0008-0000-0E00-0000AC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684</xdr:row>
      <xdr:rowOff>0</xdr:rowOff>
    </xdr:from>
    <xdr:ext cx="381000" cy="381000"/>
    <xdr:pic>
      <xdr:nvPicPr>
        <xdr:cNvPr id="685" name="image35.jpg">
          <a:extLst>
            <a:ext uri="{FF2B5EF4-FFF2-40B4-BE49-F238E27FC236}">
              <a16:creationId xmlns:a16="http://schemas.microsoft.com/office/drawing/2014/main" id="{00000000-0008-0000-0E00-0000AD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685</xdr:row>
      <xdr:rowOff>0</xdr:rowOff>
    </xdr:from>
    <xdr:ext cx="381000" cy="381000"/>
    <xdr:pic>
      <xdr:nvPicPr>
        <xdr:cNvPr id="686" name="image35.jpg">
          <a:extLst>
            <a:ext uri="{FF2B5EF4-FFF2-40B4-BE49-F238E27FC236}">
              <a16:creationId xmlns:a16="http://schemas.microsoft.com/office/drawing/2014/main" id="{00000000-0008-0000-0E00-0000AE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686</xdr:row>
      <xdr:rowOff>0</xdr:rowOff>
    </xdr:from>
    <xdr:ext cx="381000" cy="381000"/>
    <xdr:pic>
      <xdr:nvPicPr>
        <xdr:cNvPr id="687" name="image35.jpg">
          <a:extLst>
            <a:ext uri="{FF2B5EF4-FFF2-40B4-BE49-F238E27FC236}">
              <a16:creationId xmlns:a16="http://schemas.microsoft.com/office/drawing/2014/main" id="{00000000-0008-0000-0E00-0000AF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687</xdr:row>
      <xdr:rowOff>0</xdr:rowOff>
    </xdr:from>
    <xdr:ext cx="381000" cy="381000"/>
    <xdr:pic>
      <xdr:nvPicPr>
        <xdr:cNvPr id="688" name="image35.jpg">
          <a:extLst>
            <a:ext uri="{FF2B5EF4-FFF2-40B4-BE49-F238E27FC236}">
              <a16:creationId xmlns:a16="http://schemas.microsoft.com/office/drawing/2014/main" id="{00000000-0008-0000-0E00-0000B0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688</xdr:row>
      <xdr:rowOff>0</xdr:rowOff>
    </xdr:from>
    <xdr:ext cx="381000" cy="381000"/>
    <xdr:pic>
      <xdr:nvPicPr>
        <xdr:cNvPr id="689" name="image35.jpg">
          <a:extLst>
            <a:ext uri="{FF2B5EF4-FFF2-40B4-BE49-F238E27FC236}">
              <a16:creationId xmlns:a16="http://schemas.microsoft.com/office/drawing/2014/main" id="{00000000-0008-0000-0E00-0000B102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689</xdr:row>
      <xdr:rowOff>0</xdr:rowOff>
    </xdr:from>
    <xdr:ext cx="381000" cy="381000"/>
    <xdr:pic>
      <xdr:nvPicPr>
        <xdr:cNvPr id="690" name="image17.jpg">
          <a:extLst>
            <a:ext uri="{FF2B5EF4-FFF2-40B4-BE49-F238E27FC236}">
              <a16:creationId xmlns:a16="http://schemas.microsoft.com/office/drawing/2014/main" id="{00000000-0008-0000-0E00-0000B2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690</xdr:row>
      <xdr:rowOff>0</xdr:rowOff>
    </xdr:from>
    <xdr:ext cx="381000" cy="381000"/>
    <xdr:pic>
      <xdr:nvPicPr>
        <xdr:cNvPr id="691" name="image17.jpg">
          <a:extLst>
            <a:ext uri="{FF2B5EF4-FFF2-40B4-BE49-F238E27FC236}">
              <a16:creationId xmlns:a16="http://schemas.microsoft.com/office/drawing/2014/main" id="{00000000-0008-0000-0E00-0000B3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691</xdr:row>
      <xdr:rowOff>0</xdr:rowOff>
    </xdr:from>
    <xdr:ext cx="381000" cy="381000"/>
    <xdr:pic>
      <xdr:nvPicPr>
        <xdr:cNvPr id="692" name="image17.jpg">
          <a:extLst>
            <a:ext uri="{FF2B5EF4-FFF2-40B4-BE49-F238E27FC236}">
              <a16:creationId xmlns:a16="http://schemas.microsoft.com/office/drawing/2014/main" id="{00000000-0008-0000-0E00-0000B4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692</xdr:row>
      <xdr:rowOff>0</xdr:rowOff>
    </xdr:from>
    <xdr:ext cx="381000" cy="381000"/>
    <xdr:pic>
      <xdr:nvPicPr>
        <xdr:cNvPr id="693" name="image17.jpg">
          <a:extLst>
            <a:ext uri="{FF2B5EF4-FFF2-40B4-BE49-F238E27FC236}">
              <a16:creationId xmlns:a16="http://schemas.microsoft.com/office/drawing/2014/main" id="{00000000-0008-0000-0E00-0000B5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693</xdr:row>
      <xdr:rowOff>0</xdr:rowOff>
    </xdr:from>
    <xdr:ext cx="381000" cy="381000"/>
    <xdr:pic>
      <xdr:nvPicPr>
        <xdr:cNvPr id="694" name="image17.jpg">
          <a:extLst>
            <a:ext uri="{FF2B5EF4-FFF2-40B4-BE49-F238E27FC236}">
              <a16:creationId xmlns:a16="http://schemas.microsoft.com/office/drawing/2014/main" id="{00000000-0008-0000-0E00-0000B6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694</xdr:row>
      <xdr:rowOff>0</xdr:rowOff>
    </xdr:from>
    <xdr:ext cx="381000" cy="381000"/>
    <xdr:pic>
      <xdr:nvPicPr>
        <xdr:cNvPr id="695" name="image17.jpg">
          <a:extLst>
            <a:ext uri="{FF2B5EF4-FFF2-40B4-BE49-F238E27FC236}">
              <a16:creationId xmlns:a16="http://schemas.microsoft.com/office/drawing/2014/main" id="{00000000-0008-0000-0E00-0000B7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695</xdr:row>
      <xdr:rowOff>0</xdr:rowOff>
    </xdr:from>
    <xdr:ext cx="381000" cy="381000"/>
    <xdr:pic>
      <xdr:nvPicPr>
        <xdr:cNvPr id="696" name="image17.jpg">
          <a:extLst>
            <a:ext uri="{FF2B5EF4-FFF2-40B4-BE49-F238E27FC236}">
              <a16:creationId xmlns:a16="http://schemas.microsoft.com/office/drawing/2014/main" id="{00000000-0008-0000-0E00-0000B8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696</xdr:row>
      <xdr:rowOff>0</xdr:rowOff>
    </xdr:from>
    <xdr:ext cx="381000" cy="381000"/>
    <xdr:pic>
      <xdr:nvPicPr>
        <xdr:cNvPr id="697" name="image17.jpg">
          <a:extLst>
            <a:ext uri="{FF2B5EF4-FFF2-40B4-BE49-F238E27FC236}">
              <a16:creationId xmlns:a16="http://schemas.microsoft.com/office/drawing/2014/main" id="{00000000-0008-0000-0E00-0000B9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697</xdr:row>
      <xdr:rowOff>0</xdr:rowOff>
    </xdr:from>
    <xdr:ext cx="381000" cy="381000"/>
    <xdr:pic>
      <xdr:nvPicPr>
        <xdr:cNvPr id="698" name="image17.jpg">
          <a:extLst>
            <a:ext uri="{FF2B5EF4-FFF2-40B4-BE49-F238E27FC236}">
              <a16:creationId xmlns:a16="http://schemas.microsoft.com/office/drawing/2014/main" id="{00000000-0008-0000-0E00-0000BA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698</xdr:row>
      <xdr:rowOff>0</xdr:rowOff>
    </xdr:from>
    <xdr:ext cx="381000" cy="381000"/>
    <xdr:pic>
      <xdr:nvPicPr>
        <xdr:cNvPr id="699" name="image17.jpg">
          <a:extLst>
            <a:ext uri="{FF2B5EF4-FFF2-40B4-BE49-F238E27FC236}">
              <a16:creationId xmlns:a16="http://schemas.microsoft.com/office/drawing/2014/main" id="{00000000-0008-0000-0E00-0000BB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699</xdr:row>
      <xdr:rowOff>0</xdr:rowOff>
    </xdr:from>
    <xdr:ext cx="381000" cy="381000"/>
    <xdr:pic>
      <xdr:nvPicPr>
        <xdr:cNvPr id="700" name="image17.jpg">
          <a:extLst>
            <a:ext uri="{FF2B5EF4-FFF2-40B4-BE49-F238E27FC236}">
              <a16:creationId xmlns:a16="http://schemas.microsoft.com/office/drawing/2014/main" id="{00000000-0008-0000-0E00-0000BC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700</xdr:row>
      <xdr:rowOff>0</xdr:rowOff>
    </xdr:from>
    <xdr:ext cx="381000" cy="381000"/>
    <xdr:pic>
      <xdr:nvPicPr>
        <xdr:cNvPr id="701" name="image17.jpg">
          <a:extLst>
            <a:ext uri="{FF2B5EF4-FFF2-40B4-BE49-F238E27FC236}">
              <a16:creationId xmlns:a16="http://schemas.microsoft.com/office/drawing/2014/main" id="{00000000-0008-0000-0E00-0000BD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701</xdr:row>
      <xdr:rowOff>0</xdr:rowOff>
    </xdr:from>
    <xdr:ext cx="381000" cy="381000"/>
    <xdr:pic>
      <xdr:nvPicPr>
        <xdr:cNvPr id="702" name="image17.jpg">
          <a:extLst>
            <a:ext uri="{FF2B5EF4-FFF2-40B4-BE49-F238E27FC236}">
              <a16:creationId xmlns:a16="http://schemas.microsoft.com/office/drawing/2014/main" id="{00000000-0008-0000-0E00-0000BE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702</xdr:row>
      <xdr:rowOff>0</xdr:rowOff>
    </xdr:from>
    <xdr:ext cx="381000" cy="381000"/>
    <xdr:pic>
      <xdr:nvPicPr>
        <xdr:cNvPr id="703" name="image17.jpg">
          <a:extLst>
            <a:ext uri="{FF2B5EF4-FFF2-40B4-BE49-F238E27FC236}">
              <a16:creationId xmlns:a16="http://schemas.microsoft.com/office/drawing/2014/main" id="{00000000-0008-0000-0E00-0000BF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703</xdr:row>
      <xdr:rowOff>0</xdr:rowOff>
    </xdr:from>
    <xdr:ext cx="381000" cy="381000"/>
    <xdr:pic>
      <xdr:nvPicPr>
        <xdr:cNvPr id="704" name="image17.jpg">
          <a:extLst>
            <a:ext uri="{FF2B5EF4-FFF2-40B4-BE49-F238E27FC236}">
              <a16:creationId xmlns:a16="http://schemas.microsoft.com/office/drawing/2014/main" id="{00000000-0008-0000-0E00-0000C0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704</xdr:row>
      <xdr:rowOff>0</xdr:rowOff>
    </xdr:from>
    <xdr:ext cx="381000" cy="381000"/>
    <xdr:pic>
      <xdr:nvPicPr>
        <xdr:cNvPr id="705" name="image17.jpg">
          <a:extLst>
            <a:ext uri="{FF2B5EF4-FFF2-40B4-BE49-F238E27FC236}">
              <a16:creationId xmlns:a16="http://schemas.microsoft.com/office/drawing/2014/main" id="{00000000-0008-0000-0E00-0000C1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705</xdr:row>
      <xdr:rowOff>0</xdr:rowOff>
    </xdr:from>
    <xdr:ext cx="381000" cy="381000"/>
    <xdr:pic>
      <xdr:nvPicPr>
        <xdr:cNvPr id="706" name="image17.jpg">
          <a:extLst>
            <a:ext uri="{FF2B5EF4-FFF2-40B4-BE49-F238E27FC236}">
              <a16:creationId xmlns:a16="http://schemas.microsoft.com/office/drawing/2014/main" id="{00000000-0008-0000-0E00-0000C2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706</xdr:row>
      <xdr:rowOff>0</xdr:rowOff>
    </xdr:from>
    <xdr:ext cx="381000" cy="381000"/>
    <xdr:pic>
      <xdr:nvPicPr>
        <xdr:cNvPr id="707" name="image17.jpg">
          <a:extLst>
            <a:ext uri="{FF2B5EF4-FFF2-40B4-BE49-F238E27FC236}">
              <a16:creationId xmlns:a16="http://schemas.microsoft.com/office/drawing/2014/main" id="{00000000-0008-0000-0E00-0000C3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707</xdr:row>
      <xdr:rowOff>0</xdr:rowOff>
    </xdr:from>
    <xdr:ext cx="381000" cy="381000"/>
    <xdr:pic>
      <xdr:nvPicPr>
        <xdr:cNvPr id="708" name="image17.jpg">
          <a:extLst>
            <a:ext uri="{FF2B5EF4-FFF2-40B4-BE49-F238E27FC236}">
              <a16:creationId xmlns:a16="http://schemas.microsoft.com/office/drawing/2014/main" id="{00000000-0008-0000-0E00-0000C4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708</xdr:row>
      <xdr:rowOff>0</xdr:rowOff>
    </xdr:from>
    <xdr:ext cx="381000" cy="381000"/>
    <xdr:pic>
      <xdr:nvPicPr>
        <xdr:cNvPr id="709" name="image17.jpg">
          <a:extLst>
            <a:ext uri="{FF2B5EF4-FFF2-40B4-BE49-F238E27FC236}">
              <a16:creationId xmlns:a16="http://schemas.microsoft.com/office/drawing/2014/main" id="{00000000-0008-0000-0E00-0000C5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709</xdr:row>
      <xdr:rowOff>0</xdr:rowOff>
    </xdr:from>
    <xdr:ext cx="381000" cy="381000"/>
    <xdr:pic>
      <xdr:nvPicPr>
        <xdr:cNvPr id="710" name="image17.jpg">
          <a:extLst>
            <a:ext uri="{FF2B5EF4-FFF2-40B4-BE49-F238E27FC236}">
              <a16:creationId xmlns:a16="http://schemas.microsoft.com/office/drawing/2014/main" id="{00000000-0008-0000-0E00-0000C6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710</xdr:row>
      <xdr:rowOff>0</xdr:rowOff>
    </xdr:from>
    <xdr:ext cx="381000" cy="381000"/>
    <xdr:pic>
      <xdr:nvPicPr>
        <xdr:cNvPr id="711" name="image17.jpg">
          <a:extLst>
            <a:ext uri="{FF2B5EF4-FFF2-40B4-BE49-F238E27FC236}">
              <a16:creationId xmlns:a16="http://schemas.microsoft.com/office/drawing/2014/main" id="{00000000-0008-0000-0E00-0000C7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711</xdr:row>
      <xdr:rowOff>0</xdr:rowOff>
    </xdr:from>
    <xdr:ext cx="381000" cy="381000"/>
    <xdr:pic>
      <xdr:nvPicPr>
        <xdr:cNvPr id="712" name="image17.jpg">
          <a:extLst>
            <a:ext uri="{FF2B5EF4-FFF2-40B4-BE49-F238E27FC236}">
              <a16:creationId xmlns:a16="http://schemas.microsoft.com/office/drawing/2014/main" id="{00000000-0008-0000-0E00-0000C8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712</xdr:row>
      <xdr:rowOff>0</xdr:rowOff>
    </xdr:from>
    <xdr:ext cx="381000" cy="381000"/>
    <xdr:pic>
      <xdr:nvPicPr>
        <xdr:cNvPr id="713" name="image17.jpg">
          <a:extLst>
            <a:ext uri="{FF2B5EF4-FFF2-40B4-BE49-F238E27FC236}">
              <a16:creationId xmlns:a16="http://schemas.microsoft.com/office/drawing/2014/main" id="{00000000-0008-0000-0E00-0000C9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713</xdr:row>
      <xdr:rowOff>0</xdr:rowOff>
    </xdr:from>
    <xdr:ext cx="381000" cy="381000"/>
    <xdr:pic>
      <xdr:nvPicPr>
        <xdr:cNvPr id="714" name="image17.jpg">
          <a:extLst>
            <a:ext uri="{FF2B5EF4-FFF2-40B4-BE49-F238E27FC236}">
              <a16:creationId xmlns:a16="http://schemas.microsoft.com/office/drawing/2014/main" id="{00000000-0008-0000-0E00-0000CA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714</xdr:row>
      <xdr:rowOff>0</xdr:rowOff>
    </xdr:from>
    <xdr:ext cx="381000" cy="381000"/>
    <xdr:pic>
      <xdr:nvPicPr>
        <xdr:cNvPr id="715" name="image17.jpg">
          <a:extLst>
            <a:ext uri="{FF2B5EF4-FFF2-40B4-BE49-F238E27FC236}">
              <a16:creationId xmlns:a16="http://schemas.microsoft.com/office/drawing/2014/main" id="{00000000-0008-0000-0E00-0000CB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715</xdr:row>
      <xdr:rowOff>0</xdr:rowOff>
    </xdr:from>
    <xdr:ext cx="381000" cy="381000"/>
    <xdr:pic>
      <xdr:nvPicPr>
        <xdr:cNvPr id="716" name="image17.jpg">
          <a:extLst>
            <a:ext uri="{FF2B5EF4-FFF2-40B4-BE49-F238E27FC236}">
              <a16:creationId xmlns:a16="http://schemas.microsoft.com/office/drawing/2014/main" id="{00000000-0008-0000-0E00-0000CC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716</xdr:row>
      <xdr:rowOff>0</xdr:rowOff>
    </xdr:from>
    <xdr:ext cx="381000" cy="381000"/>
    <xdr:pic>
      <xdr:nvPicPr>
        <xdr:cNvPr id="717" name="image17.jpg">
          <a:extLst>
            <a:ext uri="{FF2B5EF4-FFF2-40B4-BE49-F238E27FC236}">
              <a16:creationId xmlns:a16="http://schemas.microsoft.com/office/drawing/2014/main" id="{00000000-0008-0000-0E00-0000CD02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717</xdr:row>
      <xdr:rowOff>0</xdr:rowOff>
    </xdr:from>
    <xdr:ext cx="381000" cy="381000"/>
    <xdr:pic>
      <xdr:nvPicPr>
        <xdr:cNvPr id="718" name="image53.jpg">
          <a:extLst>
            <a:ext uri="{FF2B5EF4-FFF2-40B4-BE49-F238E27FC236}">
              <a16:creationId xmlns:a16="http://schemas.microsoft.com/office/drawing/2014/main" id="{00000000-0008-0000-0E00-0000CE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718</xdr:row>
      <xdr:rowOff>0</xdr:rowOff>
    </xdr:from>
    <xdr:ext cx="381000" cy="381000"/>
    <xdr:pic>
      <xdr:nvPicPr>
        <xdr:cNvPr id="719" name="image53.jpg">
          <a:extLst>
            <a:ext uri="{FF2B5EF4-FFF2-40B4-BE49-F238E27FC236}">
              <a16:creationId xmlns:a16="http://schemas.microsoft.com/office/drawing/2014/main" id="{00000000-0008-0000-0E00-0000CF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719</xdr:row>
      <xdr:rowOff>0</xdr:rowOff>
    </xdr:from>
    <xdr:ext cx="381000" cy="381000"/>
    <xdr:pic>
      <xdr:nvPicPr>
        <xdr:cNvPr id="720" name="image53.jpg">
          <a:extLst>
            <a:ext uri="{FF2B5EF4-FFF2-40B4-BE49-F238E27FC236}">
              <a16:creationId xmlns:a16="http://schemas.microsoft.com/office/drawing/2014/main" id="{00000000-0008-0000-0E00-0000D0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720</xdr:row>
      <xdr:rowOff>0</xdr:rowOff>
    </xdr:from>
    <xdr:ext cx="381000" cy="381000"/>
    <xdr:pic>
      <xdr:nvPicPr>
        <xdr:cNvPr id="721" name="image53.jpg">
          <a:extLst>
            <a:ext uri="{FF2B5EF4-FFF2-40B4-BE49-F238E27FC236}">
              <a16:creationId xmlns:a16="http://schemas.microsoft.com/office/drawing/2014/main" id="{00000000-0008-0000-0E00-0000D1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721</xdr:row>
      <xdr:rowOff>0</xdr:rowOff>
    </xdr:from>
    <xdr:ext cx="381000" cy="381000"/>
    <xdr:pic>
      <xdr:nvPicPr>
        <xdr:cNvPr id="722" name="image53.jpg">
          <a:extLst>
            <a:ext uri="{FF2B5EF4-FFF2-40B4-BE49-F238E27FC236}">
              <a16:creationId xmlns:a16="http://schemas.microsoft.com/office/drawing/2014/main" id="{00000000-0008-0000-0E00-0000D2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722</xdr:row>
      <xdr:rowOff>0</xdr:rowOff>
    </xdr:from>
    <xdr:ext cx="381000" cy="381000"/>
    <xdr:pic>
      <xdr:nvPicPr>
        <xdr:cNvPr id="723" name="image53.jpg">
          <a:extLst>
            <a:ext uri="{FF2B5EF4-FFF2-40B4-BE49-F238E27FC236}">
              <a16:creationId xmlns:a16="http://schemas.microsoft.com/office/drawing/2014/main" id="{00000000-0008-0000-0E00-0000D3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723</xdr:row>
      <xdr:rowOff>0</xdr:rowOff>
    </xdr:from>
    <xdr:ext cx="381000" cy="381000"/>
    <xdr:pic>
      <xdr:nvPicPr>
        <xdr:cNvPr id="724" name="image53.jpg">
          <a:extLst>
            <a:ext uri="{FF2B5EF4-FFF2-40B4-BE49-F238E27FC236}">
              <a16:creationId xmlns:a16="http://schemas.microsoft.com/office/drawing/2014/main" id="{00000000-0008-0000-0E00-0000D4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724</xdr:row>
      <xdr:rowOff>0</xdr:rowOff>
    </xdr:from>
    <xdr:ext cx="381000" cy="381000"/>
    <xdr:pic>
      <xdr:nvPicPr>
        <xdr:cNvPr id="725" name="image53.jpg">
          <a:extLst>
            <a:ext uri="{FF2B5EF4-FFF2-40B4-BE49-F238E27FC236}">
              <a16:creationId xmlns:a16="http://schemas.microsoft.com/office/drawing/2014/main" id="{00000000-0008-0000-0E00-0000D5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725</xdr:row>
      <xdr:rowOff>0</xdr:rowOff>
    </xdr:from>
    <xdr:ext cx="381000" cy="381000"/>
    <xdr:pic>
      <xdr:nvPicPr>
        <xdr:cNvPr id="726" name="image53.jpg">
          <a:extLst>
            <a:ext uri="{FF2B5EF4-FFF2-40B4-BE49-F238E27FC236}">
              <a16:creationId xmlns:a16="http://schemas.microsoft.com/office/drawing/2014/main" id="{00000000-0008-0000-0E00-0000D6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726</xdr:row>
      <xdr:rowOff>0</xdr:rowOff>
    </xdr:from>
    <xdr:ext cx="381000" cy="381000"/>
    <xdr:pic>
      <xdr:nvPicPr>
        <xdr:cNvPr id="727" name="image53.jpg">
          <a:extLst>
            <a:ext uri="{FF2B5EF4-FFF2-40B4-BE49-F238E27FC236}">
              <a16:creationId xmlns:a16="http://schemas.microsoft.com/office/drawing/2014/main" id="{00000000-0008-0000-0E00-0000D7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727</xdr:row>
      <xdr:rowOff>0</xdr:rowOff>
    </xdr:from>
    <xdr:ext cx="381000" cy="381000"/>
    <xdr:pic>
      <xdr:nvPicPr>
        <xdr:cNvPr id="728" name="image53.jpg">
          <a:extLst>
            <a:ext uri="{FF2B5EF4-FFF2-40B4-BE49-F238E27FC236}">
              <a16:creationId xmlns:a16="http://schemas.microsoft.com/office/drawing/2014/main" id="{00000000-0008-0000-0E00-0000D8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728</xdr:row>
      <xdr:rowOff>0</xdr:rowOff>
    </xdr:from>
    <xdr:ext cx="381000" cy="381000"/>
    <xdr:pic>
      <xdr:nvPicPr>
        <xdr:cNvPr id="729" name="image53.jpg">
          <a:extLst>
            <a:ext uri="{FF2B5EF4-FFF2-40B4-BE49-F238E27FC236}">
              <a16:creationId xmlns:a16="http://schemas.microsoft.com/office/drawing/2014/main" id="{00000000-0008-0000-0E00-0000D9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729</xdr:row>
      <xdr:rowOff>0</xdr:rowOff>
    </xdr:from>
    <xdr:ext cx="381000" cy="381000"/>
    <xdr:pic>
      <xdr:nvPicPr>
        <xdr:cNvPr id="730" name="image53.jpg">
          <a:extLst>
            <a:ext uri="{FF2B5EF4-FFF2-40B4-BE49-F238E27FC236}">
              <a16:creationId xmlns:a16="http://schemas.microsoft.com/office/drawing/2014/main" id="{00000000-0008-0000-0E00-0000DA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730</xdr:row>
      <xdr:rowOff>0</xdr:rowOff>
    </xdr:from>
    <xdr:ext cx="381000" cy="381000"/>
    <xdr:pic>
      <xdr:nvPicPr>
        <xdr:cNvPr id="731" name="image53.jpg">
          <a:extLst>
            <a:ext uri="{FF2B5EF4-FFF2-40B4-BE49-F238E27FC236}">
              <a16:creationId xmlns:a16="http://schemas.microsoft.com/office/drawing/2014/main" id="{00000000-0008-0000-0E00-0000DB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731</xdr:row>
      <xdr:rowOff>0</xdr:rowOff>
    </xdr:from>
    <xdr:ext cx="381000" cy="381000"/>
    <xdr:pic>
      <xdr:nvPicPr>
        <xdr:cNvPr id="732" name="image53.jpg">
          <a:extLst>
            <a:ext uri="{FF2B5EF4-FFF2-40B4-BE49-F238E27FC236}">
              <a16:creationId xmlns:a16="http://schemas.microsoft.com/office/drawing/2014/main" id="{00000000-0008-0000-0E00-0000DC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732</xdr:row>
      <xdr:rowOff>0</xdr:rowOff>
    </xdr:from>
    <xdr:ext cx="381000" cy="381000"/>
    <xdr:pic>
      <xdr:nvPicPr>
        <xdr:cNvPr id="733" name="image53.jpg">
          <a:extLst>
            <a:ext uri="{FF2B5EF4-FFF2-40B4-BE49-F238E27FC236}">
              <a16:creationId xmlns:a16="http://schemas.microsoft.com/office/drawing/2014/main" id="{00000000-0008-0000-0E00-0000DD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733</xdr:row>
      <xdr:rowOff>0</xdr:rowOff>
    </xdr:from>
    <xdr:ext cx="381000" cy="381000"/>
    <xdr:pic>
      <xdr:nvPicPr>
        <xdr:cNvPr id="734" name="image53.jpg">
          <a:extLst>
            <a:ext uri="{FF2B5EF4-FFF2-40B4-BE49-F238E27FC236}">
              <a16:creationId xmlns:a16="http://schemas.microsoft.com/office/drawing/2014/main" id="{00000000-0008-0000-0E00-0000DE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734</xdr:row>
      <xdr:rowOff>0</xdr:rowOff>
    </xdr:from>
    <xdr:ext cx="381000" cy="381000"/>
    <xdr:pic>
      <xdr:nvPicPr>
        <xdr:cNvPr id="735" name="image53.jpg">
          <a:extLst>
            <a:ext uri="{FF2B5EF4-FFF2-40B4-BE49-F238E27FC236}">
              <a16:creationId xmlns:a16="http://schemas.microsoft.com/office/drawing/2014/main" id="{00000000-0008-0000-0E00-0000DF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735</xdr:row>
      <xdr:rowOff>0</xdr:rowOff>
    </xdr:from>
    <xdr:ext cx="381000" cy="381000"/>
    <xdr:pic>
      <xdr:nvPicPr>
        <xdr:cNvPr id="736" name="image53.jpg">
          <a:extLst>
            <a:ext uri="{FF2B5EF4-FFF2-40B4-BE49-F238E27FC236}">
              <a16:creationId xmlns:a16="http://schemas.microsoft.com/office/drawing/2014/main" id="{00000000-0008-0000-0E00-0000E0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736</xdr:row>
      <xdr:rowOff>0</xdr:rowOff>
    </xdr:from>
    <xdr:ext cx="381000" cy="381000"/>
    <xdr:pic>
      <xdr:nvPicPr>
        <xdr:cNvPr id="737" name="image53.jpg">
          <a:extLst>
            <a:ext uri="{FF2B5EF4-FFF2-40B4-BE49-F238E27FC236}">
              <a16:creationId xmlns:a16="http://schemas.microsoft.com/office/drawing/2014/main" id="{00000000-0008-0000-0E00-0000E1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737</xdr:row>
      <xdr:rowOff>0</xdr:rowOff>
    </xdr:from>
    <xdr:ext cx="381000" cy="381000"/>
    <xdr:pic>
      <xdr:nvPicPr>
        <xdr:cNvPr id="738" name="image53.jpg">
          <a:extLst>
            <a:ext uri="{FF2B5EF4-FFF2-40B4-BE49-F238E27FC236}">
              <a16:creationId xmlns:a16="http://schemas.microsoft.com/office/drawing/2014/main" id="{00000000-0008-0000-0E00-0000E2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738</xdr:row>
      <xdr:rowOff>0</xdr:rowOff>
    </xdr:from>
    <xdr:ext cx="381000" cy="381000"/>
    <xdr:pic>
      <xdr:nvPicPr>
        <xdr:cNvPr id="739" name="image53.jpg">
          <a:extLst>
            <a:ext uri="{FF2B5EF4-FFF2-40B4-BE49-F238E27FC236}">
              <a16:creationId xmlns:a16="http://schemas.microsoft.com/office/drawing/2014/main" id="{00000000-0008-0000-0E00-0000E3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739</xdr:row>
      <xdr:rowOff>0</xdr:rowOff>
    </xdr:from>
    <xdr:ext cx="381000" cy="381000"/>
    <xdr:pic>
      <xdr:nvPicPr>
        <xdr:cNvPr id="740" name="image53.jpg">
          <a:extLst>
            <a:ext uri="{FF2B5EF4-FFF2-40B4-BE49-F238E27FC236}">
              <a16:creationId xmlns:a16="http://schemas.microsoft.com/office/drawing/2014/main" id="{00000000-0008-0000-0E00-0000E4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740</xdr:row>
      <xdr:rowOff>0</xdr:rowOff>
    </xdr:from>
    <xdr:ext cx="381000" cy="381000"/>
    <xdr:pic>
      <xdr:nvPicPr>
        <xdr:cNvPr id="741" name="image53.jpg">
          <a:extLst>
            <a:ext uri="{FF2B5EF4-FFF2-40B4-BE49-F238E27FC236}">
              <a16:creationId xmlns:a16="http://schemas.microsoft.com/office/drawing/2014/main" id="{00000000-0008-0000-0E00-0000E5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741</xdr:row>
      <xdr:rowOff>0</xdr:rowOff>
    </xdr:from>
    <xdr:ext cx="381000" cy="381000"/>
    <xdr:pic>
      <xdr:nvPicPr>
        <xdr:cNvPr id="742" name="image53.jpg">
          <a:extLst>
            <a:ext uri="{FF2B5EF4-FFF2-40B4-BE49-F238E27FC236}">
              <a16:creationId xmlns:a16="http://schemas.microsoft.com/office/drawing/2014/main" id="{00000000-0008-0000-0E00-0000E6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742</xdr:row>
      <xdr:rowOff>0</xdr:rowOff>
    </xdr:from>
    <xdr:ext cx="381000" cy="381000"/>
    <xdr:pic>
      <xdr:nvPicPr>
        <xdr:cNvPr id="743" name="image53.jpg">
          <a:extLst>
            <a:ext uri="{FF2B5EF4-FFF2-40B4-BE49-F238E27FC236}">
              <a16:creationId xmlns:a16="http://schemas.microsoft.com/office/drawing/2014/main" id="{00000000-0008-0000-0E00-0000E7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743</xdr:row>
      <xdr:rowOff>0</xdr:rowOff>
    </xdr:from>
    <xdr:ext cx="381000" cy="381000"/>
    <xdr:pic>
      <xdr:nvPicPr>
        <xdr:cNvPr id="744" name="image53.jpg">
          <a:extLst>
            <a:ext uri="{FF2B5EF4-FFF2-40B4-BE49-F238E27FC236}">
              <a16:creationId xmlns:a16="http://schemas.microsoft.com/office/drawing/2014/main" id="{00000000-0008-0000-0E00-0000E8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744</xdr:row>
      <xdr:rowOff>0</xdr:rowOff>
    </xdr:from>
    <xdr:ext cx="381000" cy="381000"/>
    <xdr:pic>
      <xdr:nvPicPr>
        <xdr:cNvPr id="745" name="image53.jpg">
          <a:extLst>
            <a:ext uri="{FF2B5EF4-FFF2-40B4-BE49-F238E27FC236}">
              <a16:creationId xmlns:a16="http://schemas.microsoft.com/office/drawing/2014/main" id="{00000000-0008-0000-0E00-0000E9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745</xdr:row>
      <xdr:rowOff>0</xdr:rowOff>
    </xdr:from>
    <xdr:ext cx="381000" cy="381000"/>
    <xdr:pic>
      <xdr:nvPicPr>
        <xdr:cNvPr id="746" name="image53.jpg">
          <a:extLst>
            <a:ext uri="{FF2B5EF4-FFF2-40B4-BE49-F238E27FC236}">
              <a16:creationId xmlns:a16="http://schemas.microsoft.com/office/drawing/2014/main" id="{00000000-0008-0000-0E00-0000EA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746</xdr:row>
      <xdr:rowOff>0</xdr:rowOff>
    </xdr:from>
    <xdr:ext cx="381000" cy="381000"/>
    <xdr:pic>
      <xdr:nvPicPr>
        <xdr:cNvPr id="747" name="image53.jpg">
          <a:extLst>
            <a:ext uri="{FF2B5EF4-FFF2-40B4-BE49-F238E27FC236}">
              <a16:creationId xmlns:a16="http://schemas.microsoft.com/office/drawing/2014/main" id="{00000000-0008-0000-0E00-0000EB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747</xdr:row>
      <xdr:rowOff>0</xdr:rowOff>
    </xdr:from>
    <xdr:ext cx="381000" cy="381000"/>
    <xdr:pic>
      <xdr:nvPicPr>
        <xdr:cNvPr id="748" name="image53.jpg">
          <a:extLst>
            <a:ext uri="{FF2B5EF4-FFF2-40B4-BE49-F238E27FC236}">
              <a16:creationId xmlns:a16="http://schemas.microsoft.com/office/drawing/2014/main" id="{00000000-0008-0000-0E00-0000EC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748</xdr:row>
      <xdr:rowOff>0</xdr:rowOff>
    </xdr:from>
    <xdr:ext cx="381000" cy="381000"/>
    <xdr:pic>
      <xdr:nvPicPr>
        <xdr:cNvPr id="749" name="image53.jpg">
          <a:extLst>
            <a:ext uri="{FF2B5EF4-FFF2-40B4-BE49-F238E27FC236}">
              <a16:creationId xmlns:a16="http://schemas.microsoft.com/office/drawing/2014/main" id="{00000000-0008-0000-0E00-0000ED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749</xdr:row>
      <xdr:rowOff>0</xdr:rowOff>
    </xdr:from>
    <xdr:ext cx="381000" cy="381000"/>
    <xdr:pic>
      <xdr:nvPicPr>
        <xdr:cNvPr id="750" name="image53.jpg">
          <a:extLst>
            <a:ext uri="{FF2B5EF4-FFF2-40B4-BE49-F238E27FC236}">
              <a16:creationId xmlns:a16="http://schemas.microsoft.com/office/drawing/2014/main" id="{00000000-0008-0000-0E00-0000EE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750</xdr:row>
      <xdr:rowOff>0</xdr:rowOff>
    </xdr:from>
    <xdr:ext cx="381000" cy="381000"/>
    <xdr:pic>
      <xdr:nvPicPr>
        <xdr:cNvPr id="751" name="image53.jpg">
          <a:extLst>
            <a:ext uri="{FF2B5EF4-FFF2-40B4-BE49-F238E27FC236}">
              <a16:creationId xmlns:a16="http://schemas.microsoft.com/office/drawing/2014/main" id="{00000000-0008-0000-0E00-0000EF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751</xdr:row>
      <xdr:rowOff>0</xdr:rowOff>
    </xdr:from>
    <xdr:ext cx="381000" cy="381000"/>
    <xdr:pic>
      <xdr:nvPicPr>
        <xdr:cNvPr id="752" name="image53.jpg">
          <a:extLst>
            <a:ext uri="{FF2B5EF4-FFF2-40B4-BE49-F238E27FC236}">
              <a16:creationId xmlns:a16="http://schemas.microsoft.com/office/drawing/2014/main" id="{00000000-0008-0000-0E00-0000F002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752</xdr:row>
      <xdr:rowOff>0</xdr:rowOff>
    </xdr:from>
    <xdr:ext cx="381000" cy="381000"/>
    <xdr:pic>
      <xdr:nvPicPr>
        <xdr:cNvPr id="753" name="image85.jpg">
          <a:extLst>
            <a:ext uri="{FF2B5EF4-FFF2-40B4-BE49-F238E27FC236}">
              <a16:creationId xmlns:a16="http://schemas.microsoft.com/office/drawing/2014/main" id="{00000000-0008-0000-0E00-0000F102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0</xdr:colOff>
      <xdr:row>753</xdr:row>
      <xdr:rowOff>0</xdr:rowOff>
    </xdr:from>
    <xdr:ext cx="381000" cy="381000"/>
    <xdr:pic>
      <xdr:nvPicPr>
        <xdr:cNvPr id="754" name="image85.jpg">
          <a:extLst>
            <a:ext uri="{FF2B5EF4-FFF2-40B4-BE49-F238E27FC236}">
              <a16:creationId xmlns:a16="http://schemas.microsoft.com/office/drawing/2014/main" id="{00000000-0008-0000-0E00-0000F202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0</xdr:colOff>
      <xdr:row>754</xdr:row>
      <xdr:rowOff>0</xdr:rowOff>
    </xdr:from>
    <xdr:ext cx="381000" cy="381000"/>
    <xdr:pic>
      <xdr:nvPicPr>
        <xdr:cNvPr id="755" name="image85.jpg">
          <a:extLst>
            <a:ext uri="{FF2B5EF4-FFF2-40B4-BE49-F238E27FC236}">
              <a16:creationId xmlns:a16="http://schemas.microsoft.com/office/drawing/2014/main" id="{00000000-0008-0000-0E00-0000F302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0</xdr:colOff>
      <xdr:row>755</xdr:row>
      <xdr:rowOff>0</xdr:rowOff>
    </xdr:from>
    <xdr:ext cx="381000" cy="381000"/>
    <xdr:pic>
      <xdr:nvPicPr>
        <xdr:cNvPr id="756" name="image85.jpg">
          <a:extLst>
            <a:ext uri="{FF2B5EF4-FFF2-40B4-BE49-F238E27FC236}">
              <a16:creationId xmlns:a16="http://schemas.microsoft.com/office/drawing/2014/main" id="{00000000-0008-0000-0E00-0000F402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0</xdr:colOff>
      <xdr:row>756</xdr:row>
      <xdr:rowOff>0</xdr:rowOff>
    </xdr:from>
    <xdr:ext cx="381000" cy="381000"/>
    <xdr:pic>
      <xdr:nvPicPr>
        <xdr:cNvPr id="757" name="image85.jpg">
          <a:extLst>
            <a:ext uri="{FF2B5EF4-FFF2-40B4-BE49-F238E27FC236}">
              <a16:creationId xmlns:a16="http://schemas.microsoft.com/office/drawing/2014/main" id="{00000000-0008-0000-0E00-0000F502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0</xdr:colOff>
      <xdr:row>757</xdr:row>
      <xdr:rowOff>0</xdr:rowOff>
    </xdr:from>
    <xdr:ext cx="381000" cy="381000"/>
    <xdr:pic>
      <xdr:nvPicPr>
        <xdr:cNvPr id="758" name="image85.jpg">
          <a:extLst>
            <a:ext uri="{FF2B5EF4-FFF2-40B4-BE49-F238E27FC236}">
              <a16:creationId xmlns:a16="http://schemas.microsoft.com/office/drawing/2014/main" id="{00000000-0008-0000-0E00-0000F602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0</xdr:colOff>
      <xdr:row>758</xdr:row>
      <xdr:rowOff>0</xdr:rowOff>
    </xdr:from>
    <xdr:ext cx="381000" cy="381000"/>
    <xdr:pic>
      <xdr:nvPicPr>
        <xdr:cNvPr id="759" name="image85.jpg">
          <a:extLst>
            <a:ext uri="{FF2B5EF4-FFF2-40B4-BE49-F238E27FC236}">
              <a16:creationId xmlns:a16="http://schemas.microsoft.com/office/drawing/2014/main" id="{00000000-0008-0000-0E00-0000F702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0</xdr:colOff>
      <xdr:row>759</xdr:row>
      <xdr:rowOff>0</xdr:rowOff>
    </xdr:from>
    <xdr:ext cx="381000" cy="381000"/>
    <xdr:pic>
      <xdr:nvPicPr>
        <xdr:cNvPr id="760" name="image176.png">
          <a:extLst>
            <a:ext uri="{FF2B5EF4-FFF2-40B4-BE49-F238E27FC236}">
              <a16:creationId xmlns:a16="http://schemas.microsoft.com/office/drawing/2014/main" id="{00000000-0008-0000-0E00-0000F802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2</xdr:col>
      <xdr:colOff>0</xdr:colOff>
      <xdr:row>760</xdr:row>
      <xdr:rowOff>0</xdr:rowOff>
    </xdr:from>
    <xdr:ext cx="381000" cy="381000"/>
    <xdr:pic>
      <xdr:nvPicPr>
        <xdr:cNvPr id="761" name="image176.png">
          <a:extLst>
            <a:ext uri="{FF2B5EF4-FFF2-40B4-BE49-F238E27FC236}">
              <a16:creationId xmlns:a16="http://schemas.microsoft.com/office/drawing/2014/main" id="{00000000-0008-0000-0E00-0000F902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2</xdr:col>
      <xdr:colOff>0</xdr:colOff>
      <xdr:row>761</xdr:row>
      <xdr:rowOff>0</xdr:rowOff>
    </xdr:from>
    <xdr:ext cx="381000" cy="381000"/>
    <xdr:pic>
      <xdr:nvPicPr>
        <xdr:cNvPr id="762" name="image82.jpg">
          <a:extLst>
            <a:ext uri="{FF2B5EF4-FFF2-40B4-BE49-F238E27FC236}">
              <a16:creationId xmlns:a16="http://schemas.microsoft.com/office/drawing/2014/main" id="{00000000-0008-0000-0E00-0000FA02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762</xdr:row>
      <xdr:rowOff>0</xdr:rowOff>
    </xdr:from>
    <xdr:ext cx="381000" cy="381000"/>
    <xdr:pic>
      <xdr:nvPicPr>
        <xdr:cNvPr id="763" name="image82.jpg">
          <a:extLst>
            <a:ext uri="{FF2B5EF4-FFF2-40B4-BE49-F238E27FC236}">
              <a16:creationId xmlns:a16="http://schemas.microsoft.com/office/drawing/2014/main" id="{00000000-0008-0000-0E00-0000FB02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763</xdr:row>
      <xdr:rowOff>0</xdr:rowOff>
    </xdr:from>
    <xdr:ext cx="381000" cy="381000"/>
    <xdr:pic>
      <xdr:nvPicPr>
        <xdr:cNvPr id="764" name="image82.jpg">
          <a:extLst>
            <a:ext uri="{FF2B5EF4-FFF2-40B4-BE49-F238E27FC236}">
              <a16:creationId xmlns:a16="http://schemas.microsoft.com/office/drawing/2014/main" id="{00000000-0008-0000-0E00-0000FC02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764</xdr:row>
      <xdr:rowOff>0</xdr:rowOff>
    </xdr:from>
    <xdr:ext cx="381000" cy="381000"/>
    <xdr:pic>
      <xdr:nvPicPr>
        <xdr:cNvPr id="765" name="image82.jpg">
          <a:extLst>
            <a:ext uri="{FF2B5EF4-FFF2-40B4-BE49-F238E27FC236}">
              <a16:creationId xmlns:a16="http://schemas.microsoft.com/office/drawing/2014/main" id="{00000000-0008-0000-0E00-0000FD02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765</xdr:row>
      <xdr:rowOff>0</xdr:rowOff>
    </xdr:from>
    <xdr:ext cx="381000" cy="381000"/>
    <xdr:pic>
      <xdr:nvPicPr>
        <xdr:cNvPr id="766" name="image82.jpg">
          <a:extLst>
            <a:ext uri="{FF2B5EF4-FFF2-40B4-BE49-F238E27FC236}">
              <a16:creationId xmlns:a16="http://schemas.microsoft.com/office/drawing/2014/main" id="{00000000-0008-0000-0E00-0000FE02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766</xdr:row>
      <xdr:rowOff>0</xdr:rowOff>
    </xdr:from>
    <xdr:ext cx="381000" cy="381000"/>
    <xdr:pic>
      <xdr:nvPicPr>
        <xdr:cNvPr id="767" name="image82.jpg">
          <a:extLst>
            <a:ext uri="{FF2B5EF4-FFF2-40B4-BE49-F238E27FC236}">
              <a16:creationId xmlns:a16="http://schemas.microsoft.com/office/drawing/2014/main" id="{00000000-0008-0000-0E00-0000FF02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767</xdr:row>
      <xdr:rowOff>0</xdr:rowOff>
    </xdr:from>
    <xdr:ext cx="381000" cy="381000"/>
    <xdr:pic>
      <xdr:nvPicPr>
        <xdr:cNvPr id="768" name="image82.jpg">
          <a:extLst>
            <a:ext uri="{FF2B5EF4-FFF2-40B4-BE49-F238E27FC236}">
              <a16:creationId xmlns:a16="http://schemas.microsoft.com/office/drawing/2014/main" id="{00000000-0008-0000-0E00-000000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768</xdr:row>
      <xdr:rowOff>0</xdr:rowOff>
    </xdr:from>
    <xdr:ext cx="381000" cy="381000"/>
    <xdr:pic>
      <xdr:nvPicPr>
        <xdr:cNvPr id="769" name="image82.jpg">
          <a:extLst>
            <a:ext uri="{FF2B5EF4-FFF2-40B4-BE49-F238E27FC236}">
              <a16:creationId xmlns:a16="http://schemas.microsoft.com/office/drawing/2014/main" id="{00000000-0008-0000-0E00-000001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769</xdr:row>
      <xdr:rowOff>0</xdr:rowOff>
    </xdr:from>
    <xdr:ext cx="381000" cy="381000"/>
    <xdr:pic>
      <xdr:nvPicPr>
        <xdr:cNvPr id="770" name="image82.jpg">
          <a:extLst>
            <a:ext uri="{FF2B5EF4-FFF2-40B4-BE49-F238E27FC236}">
              <a16:creationId xmlns:a16="http://schemas.microsoft.com/office/drawing/2014/main" id="{00000000-0008-0000-0E00-000002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770</xdr:row>
      <xdr:rowOff>0</xdr:rowOff>
    </xdr:from>
    <xdr:ext cx="381000" cy="381000"/>
    <xdr:pic>
      <xdr:nvPicPr>
        <xdr:cNvPr id="771" name="image82.jpg">
          <a:extLst>
            <a:ext uri="{FF2B5EF4-FFF2-40B4-BE49-F238E27FC236}">
              <a16:creationId xmlns:a16="http://schemas.microsoft.com/office/drawing/2014/main" id="{00000000-0008-0000-0E00-000003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771</xdr:row>
      <xdr:rowOff>0</xdr:rowOff>
    </xdr:from>
    <xdr:ext cx="381000" cy="381000"/>
    <xdr:pic>
      <xdr:nvPicPr>
        <xdr:cNvPr id="772" name="image82.jpg">
          <a:extLst>
            <a:ext uri="{FF2B5EF4-FFF2-40B4-BE49-F238E27FC236}">
              <a16:creationId xmlns:a16="http://schemas.microsoft.com/office/drawing/2014/main" id="{00000000-0008-0000-0E00-000004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772</xdr:row>
      <xdr:rowOff>0</xdr:rowOff>
    </xdr:from>
    <xdr:ext cx="381000" cy="381000"/>
    <xdr:pic>
      <xdr:nvPicPr>
        <xdr:cNvPr id="773" name="image82.jpg">
          <a:extLst>
            <a:ext uri="{FF2B5EF4-FFF2-40B4-BE49-F238E27FC236}">
              <a16:creationId xmlns:a16="http://schemas.microsoft.com/office/drawing/2014/main" id="{00000000-0008-0000-0E00-000005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773</xdr:row>
      <xdr:rowOff>0</xdr:rowOff>
    </xdr:from>
    <xdr:ext cx="381000" cy="381000"/>
    <xdr:pic>
      <xdr:nvPicPr>
        <xdr:cNvPr id="774" name="image82.jpg">
          <a:extLst>
            <a:ext uri="{FF2B5EF4-FFF2-40B4-BE49-F238E27FC236}">
              <a16:creationId xmlns:a16="http://schemas.microsoft.com/office/drawing/2014/main" id="{00000000-0008-0000-0E00-000006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774</xdr:row>
      <xdr:rowOff>0</xdr:rowOff>
    </xdr:from>
    <xdr:ext cx="381000" cy="381000"/>
    <xdr:pic>
      <xdr:nvPicPr>
        <xdr:cNvPr id="775" name="image82.jpg">
          <a:extLst>
            <a:ext uri="{FF2B5EF4-FFF2-40B4-BE49-F238E27FC236}">
              <a16:creationId xmlns:a16="http://schemas.microsoft.com/office/drawing/2014/main" id="{00000000-0008-0000-0E00-000007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775</xdr:row>
      <xdr:rowOff>0</xdr:rowOff>
    </xdr:from>
    <xdr:ext cx="381000" cy="381000"/>
    <xdr:pic>
      <xdr:nvPicPr>
        <xdr:cNvPr id="776" name="image82.jpg">
          <a:extLst>
            <a:ext uri="{FF2B5EF4-FFF2-40B4-BE49-F238E27FC236}">
              <a16:creationId xmlns:a16="http://schemas.microsoft.com/office/drawing/2014/main" id="{00000000-0008-0000-0E00-000008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776</xdr:row>
      <xdr:rowOff>0</xdr:rowOff>
    </xdr:from>
    <xdr:ext cx="381000" cy="381000"/>
    <xdr:pic>
      <xdr:nvPicPr>
        <xdr:cNvPr id="777" name="image82.jpg">
          <a:extLst>
            <a:ext uri="{FF2B5EF4-FFF2-40B4-BE49-F238E27FC236}">
              <a16:creationId xmlns:a16="http://schemas.microsoft.com/office/drawing/2014/main" id="{00000000-0008-0000-0E00-00000903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777</xdr:row>
      <xdr:rowOff>0</xdr:rowOff>
    </xdr:from>
    <xdr:ext cx="381000" cy="381000"/>
    <xdr:pic>
      <xdr:nvPicPr>
        <xdr:cNvPr id="778" name="image143.png">
          <a:extLst>
            <a:ext uri="{FF2B5EF4-FFF2-40B4-BE49-F238E27FC236}">
              <a16:creationId xmlns:a16="http://schemas.microsoft.com/office/drawing/2014/main" id="{00000000-0008-0000-0E00-00000A03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778</xdr:row>
      <xdr:rowOff>0</xdr:rowOff>
    </xdr:from>
    <xdr:ext cx="381000" cy="381000"/>
    <xdr:pic>
      <xdr:nvPicPr>
        <xdr:cNvPr id="779" name="image143.png">
          <a:extLst>
            <a:ext uri="{FF2B5EF4-FFF2-40B4-BE49-F238E27FC236}">
              <a16:creationId xmlns:a16="http://schemas.microsoft.com/office/drawing/2014/main" id="{00000000-0008-0000-0E00-00000B03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779</xdr:row>
      <xdr:rowOff>0</xdr:rowOff>
    </xdr:from>
    <xdr:ext cx="381000" cy="381000"/>
    <xdr:pic>
      <xdr:nvPicPr>
        <xdr:cNvPr id="780" name="image143.png">
          <a:extLst>
            <a:ext uri="{FF2B5EF4-FFF2-40B4-BE49-F238E27FC236}">
              <a16:creationId xmlns:a16="http://schemas.microsoft.com/office/drawing/2014/main" id="{00000000-0008-0000-0E00-00000C03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780</xdr:row>
      <xdr:rowOff>0</xdr:rowOff>
    </xdr:from>
    <xdr:ext cx="381000" cy="381000"/>
    <xdr:pic>
      <xdr:nvPicPr>
        <xdr:cNvPr id="781" name="image143.png">
          <a:extLst>
            <a:ext uri="{FF2B5EF4-FFF2-40B4-BE49-F238E27FC236}">
              <a16:creationId xmlns:a16="http://schemas.microsoft.com/office/drawing/2014/main" id="{00000000-0008-0000-0E00-00000D03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781</xdr:row>
      <xdr:rowOff>0</xdr:rowOff>
    </xdr:from>
    <xdr:ext cx="381000" cy="381000"/>
    <xdr:pic>
      <xdr:nvPicPr>
        <xdr:cNvPr id="782" name="image143.png">
          <a:extLst>
            <a:ext uri="{FF2B5EF4-FFF2-40B4-BE49-F238E27FC236}">
              <a16:creationId xmlns:a16="http://schemas.microsoft.com/office/drawing/2014/main" id="{00000000-0008-0000-0E00-00000E03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782</xdr:row>
      <xdr:rowOff>0</xdr:rowOff>
    </xdr:from>
    <xdr:ext cx="381000" cy="381000"/>
    <xdr:pic>
      <xdr:nvPicPr>
        <xdr:cNvPr id="783" name="image143.png">
          <a:extLst>
            <a:ext uri="{FF2B5EF4-FFF2-40B4-BE49-F238E27FC236}">
              <a16:creationId xmlns:a16="http://schemas.microsoft.com/office/drawing/2014/main" id="{00000000-0008-0000-0E00-00000F03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783</xdr:row>
      <xdr:rowOff>0</xdr:rowOff>
    </xdr:from>
    <xdr:ext cx="381000" cy="381000"/>
    <xdr:pic>
      <xdr:nvPicPr>
        <xdr:cNvPr id="784" name="image143.png">
          <a:extLst>
            <a:ext uri="{FF2B5EF4-FFF2-40B4-BE49-F238E27FC236}">
              <a16:creationId xmlns:a16="http://schemas.microsoft.com/office/drawing/2014/main" id="{00000000-0008-0000-0E00-00001003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784</xdr:row>
      <xdr:rowOff>0</xdr:rowOff>
    </xdr:from>
    <xdr:ext cx="381000" cy="381000"/>
    <xdr:pic>
      <xdr:nvPicPr>
        <xdr:cNvPr id="785" name="image143.png">
          <a:extLst>
            <a:ext uri="{FF2B5EF4-FFF2-40B4-BE49-F238E27FC236}">
              <a16:creationId xmlns:a16="http://schemas.microsoft.com/office/drawing/2014/main" id="{00000000-0008-0000-0E00-00001103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785</xdr:row>
      <xdr:rowOff>0</xdr:rowOff>
    </xdr:from>
    <xdr:ext cx="381000" cy="381000"/>
    <xdr:pic>
      <xdr:nvPicPr>
        <xdr:cNvPr id="786" name="image135.png">
          <a:extLst>
            <a:ext uri="{FF2B5EF4-FFF2-40B4-BE49-F238E27FC236}">
              <a16:creationId xmlns:a16="http://schemas.microsoft.com/office/drawing/2014/main" id="{00000000-0008-0000-0E00-00001203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2</xdr:col>
      <xdr:colOff>0</xdr:colOff>
      <xdr:row>786</xdr:row>
      <xdr:rowOff>0</xdr:rowOff>
    </xdr:from>
    <xdr:ext cx="381000" cy="381000"/>
    <xdr:pic>
      <xdr:nvPicPr>
        <xdr:cNvPr id="787" name="image135.png">
          <a:extLst>
            <a:ext uri="{FF2B5EF4-FFF2-40B4-BE49-F238E27FC236}">
              <a16:creationId xmlns:a16="http://schemas.microsoft.com/office/drawing/2014/main" id="{00000000-0008-0000-0E00-00001303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2</xdr:col>
      <xdr:colOff>0</xdr:colOff>
      <xdr:row>787</xdr:row>
      <xdr:rowOff>0</xdr:rowOff>
    </xdr:from>
    <xdr:ext cx="381000" cy="381000"/>
    <xdr:pic>
      <xdr:nvPicPr>
        <xdr:cNvPr id="788" name="image86.jpg">
          <a:extLst>
            <a:ext uri="{FF2B5EF4-FFF2-40B4-BE49-F238E27FC236}">
              <a16:creationId xmlns:a16="http://schemas.microsoft.com/office/drawing/2014/main" id="{00000000-0008-0000-0E00-000014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788</xdr:row>
      <xdr:rowOff>0</xdr:rowOff>
    </xdr:from>
    <xdr:ext cx="381000" cy="381000"/>
    <xdr:pic>
      <xdr:nvPicPr>
        <xdr:cNvPr id="789" name="image86.jpg">
          <a:extLst>
            <a:ext uri="{FF2B5EF4-FFF2-40B4-BE49-F238E27FC236}">
              <a16:creationId xmlns:a16="http://schemas.microsoft.com/office/drawing/2014/main" id="{00000000-0008-0000-0E00-000015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789</xdr:row>
      <xdr:rowOff>0</xdr:rowOff>
    </xdr:from>
    <xdr:ext cx="381000" cy="381000"/>
    <xdr:pic>
      <xdr:nvPicPr>
        <xdr:cNvPr id="790" name="image86.jpg">
          <a:extLst>
            <a:ext uri="{FF2B5EF4-FFF2-40B4-BE49-F238E27FC236}">
              <a16:creationId xmlns:a16="http://schemas.microsoft.com/office/drawing/2014/main" id="{00000000-0008-0000-0E00-000016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790</xdr:row>
      <xdr:rowOff>0</xdr:rowOff>
    </xdr:from>
    <xdr:ext cx="381000" cy="381000"/>
    <xdr:pic>
      <xdr:nvPicPr>
        <xdr:cNvPr id="791" name="image86.jpg">
          <a:extLst>
            <a:ext uri="{FF2B5EF4-FFF2-40B4-BE49-F238E27FC236}">
              <a16:creationId xmlns:a16="http://schemas.microsoft.com/office/drawing/2014/main" id="{00000000-0008-0000-0E00-000017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791</xdr:row>
      <xdr:rowOff>0</xdr:rowOff>
    </xdr:from>
    <xdr:ext cx="381000" cy="381000"/>
    <xdr:pic>
      <xdr:nvPicPr>
        <xdr:cNvPr id="792" name="image86.jpg">
          <a:extLst>
            <a:ext uri="{FF2B5EF4-FFF2-40B4-BE49-F238E27FC236}">
              <a16:creationId xmlns:a16="http://schemas.microsoft.com/office/drawing/2014/main" id="{00000000-0008-0000-0E00-000018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792</xdr:row>
      <xdr:rowOff>0</xdr:rowOff>
    </xdr:from>
    <xdr:ext cx="381000" cy="381000"/>
    <xdr:pic>
      <xdr:nvPicPr>
        <xdr:cNvPr id="793" name="image86.jpg">
          <a:extLst>
            <a:ext uri="{FF2B5EF4-FFF2-40B4-BE49-F238E27FC236}">
              <a16:creationId xmlns:a16="http://schemas.microsoft.com/office/drawing/2014/main" id="{00000000-0008-0000-0E00-000019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793</xdr:row>
      <xdr:rowOff>0</xdr:rowOff>
    </xdr:from>
    <xdr:ext cx="381000" cy="381000"/>
    <xdr:pic>
      <xdr:nvPicPr>
        <xdr:cNvPr id="794" name="image86.jpg">
          <a:extLst>
            <a:ext uri="{FF2B5EF4-FFF2-40B4-BE49-F238E27FC236}">
              <a16:creationId xmlns:a16="http://schemas.microsoft.com/office/drawing/2014/main" id="{00000000-0008-0000-0E00-00001A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794</xdr:row>
      <xdr:rowOff>0</xdr:rowOff>
    </xdr:from>
    <xdr:ext cx="381000" cy="381000"/>
    <xdr:pic>
      <xdr:nvPicPr>
        <xdr:cNvPr id="795" name="image86.jpg">
          <a:extLst>
            <a:ext uri="{FF2B5EF4-FFF2-40B4-BE49-F238E27FC236}">
              <a16:creationId xmlns:a16="http://schemas.microsoft.com/office/drawing/2014/main" id="{00000000-0008-0000-0E00-00001B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795</xdr:row>
      <xdr:rowOff>0</xdr:rowOff>
    </xdr:from>
    <xdr:ext cx="381000" cy="381000"/>
    <xdr:pic>
      <xdr:nvPicPr>
        <xdr:cNvPr id="796" name="image86.jpg">
          <a:extLst>
            <a:ext uri="{FF2B5EF4-FFF2-40B4-BE49-F238E27FC236}">
              <a16:creationId xmlns:a16="http://schemas.microsoft.com/office/drawing/2014/main" id="{00000000-0008-0000-0E00-00001C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796</xdr:row>
      <xdr:rowOff>0</xdr:rowOff>
    </xdr:from>
    <xdr:ext cx="381000" cy="381000"/>
    <xdr:pic>
      <xdr:nvPicPr>
        <xdr:cNvPr id="797" name="image86.jpg">
          <a:extLst>
            <a:ext uri="{FF2B5EF4-FFF2-40B4-BE49-F238E27FC236}">
              <a16:creationId xmlns:a16="http://schemas.microsoft.com/office/drawing/2014/main" id="{00000000-0008-0000-0E00-00001D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797</xdr:row>
      <xdr:rowOff>0</xdr:rowOff>
    </xdr:from>
    <xdr:ext cx="381000" cy="381000"/>
    <xdr:pic>
      <xdr:nvPicPr>
        <xdr:cNvPr id="798" name="image86.jpg">
          <a:extLst>
            <a:ext uri="{FF2B5EF4-FFF2-40B4-BE49-F238E27FC236}">
              <a16:creationId xmlns:a16="http://schemas.microsoft.com/office/drawing/2014/main" id="{00000000-0008-0000-0E00-00001E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798</xdr:row>
      <xdr:rowOff>0</xdr:rowOff>
    </xdr:from>
    <xdr:ext cx="381000" cy="381000"/>
    <xdr:pic>
      <xdr:nvPicPr>
        <xdr:cNvPr id="799" name="image86.jpg">
          <a:extLst>
            <a:ext uri="{FF2B5EF4-FFF2-40B4-BE49-F238E27FC236}">
              <a16:creationId xmlns:a16="http://schemas.microsoft.com/office/drawing/2014/main" id="{00000000-0008-0000-0E00-00001F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799</xdr:row>
      <xdr:rowOff>0</xdr:rowOff>
    </xdr:from>
    <xdr:ext cx="381000" cy="381000"/>
    <xdr:pic>
      <xdr:nvPicPr>
        <xdr:cNvPr id="800" name="image86.jpg">
          <a:extLst>
            <a:ext uri="{FF2B5EF4-FFF2-40B4-BE49-F238E27FC236}">
              <a16:creationId xmlns:a16="http://schemas.microsoft.com/office/drawing/2014/main" id="{00000000-0008-0000-0E00-000020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800</xdr:row>
      <xdr:rowOff>0</xdr:rowOff>
    </xdr:from>
    <xdr:ext cx="381000" cy="381000"/>
    <xdr:pic>
      <xdr:nvPicPr>
        <xdr:cNvPr id="801" name="image86.jpg">
          <a:extLst>
            <a:ext uri="{FF2B5EF4-FFF2-40B4-BE49-F238E27FC236}">
              <a16:creationId xmlns:a16="http://schemas.microsoft.com/office/drawing/2014/main" id="{00000000-0008-0000-0E00-000021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801</xdr:row>
      <xdr:rowOff>0</xdr:rowOff>
    </xdr:from>
    <xdr:ext cx="381000" cy="381000"/>
    <xdr:pic>
      <xdr:nvPicPr>
        <xdr:cNvPr id="802" name="image86.jpg">
          <a:extLst>
            <a:ext uri="{FF2B5EF4-FFF2-40B4-BE49-F238E27FC236}">
              <a16:creationId xmlns:a16="http://schemas.microsoft.com/office/drawing/2014/main" id="{00000000-0008-0000-0E00-000022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802</xdr:row>
      <xdr:rowOff>0</xdr:rowOff>
    </xdr:from>
    <xdr:ext cx="381000" cy="381000"/>
    <xdr:pic>
      <xdr:nvPicPr>
        <xdr:cNvPr id="803" name="image86.jpg">
          <a:extLst>
            <a:ext uri="{FF2B5EF4-FFF2-40B4-BE49-F238E27FC236}">
              <a16:creationId xmlns:a16="http://schemas.microsoft.com/office/drawing/2014/main" id="{00000000-0008-0000-0E00-000023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803</xdr:row>
      <xdr:rowOff>0</xdr:rowOff>
    </xdr:from>
    <xdr:ext cx="381000" cy="381000"/>
    <xdr:pic>
      <xdr:nvPicPr>
        <xdr:cNvPr id="804" name="image86.jpg">
          <a:extLst>
            <a:ext uri="{FF2B5EF4-FFF2-40B4-BE49-F238E27FC236}">
              <a16:creationId xmlns:a16="http://schemas.microsoft.com/office/drawing/2014/main" id="{00000000-0008-0000-0E00-000024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804</xdr:row>
      <xdr:rowOff>0</xdr:rowOff>
    </xdr:from>
    <xdr:ext cx="381000" cy="381000"/>
    <xdr:pic>
      <xdr:nvPicPr>
        <xdr:cNvPr id="805" name="image86.jpg">
          <a:extLst>
            <a:ext uri="{FF2B5EF4-FFF2-40B4-BE49-F238E27FC236}">
              <a16:creationId xmlns:a16="http://schemas.microsoft.com/office/drawing/2014/main" id="{00000000-0008-0000-0E00-000025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805</xdr:row>
      <xdr:rowOff>0</xdr:rowOff>
    </xdr:from>
    <xdr:ext cx="381000" cy="381000"/>
    <xdr:pic>
      <xdr:nvPicPr>
        <xdr:cNvPr id="806" name="image86.jpg">
          <a:extLst>
            <a:ext uri="{FF2B5EF4-FFF2-40B4-BE49-F238E27FC236}">
              <a16:creationId xmlns:a16="http://schemas.microsoft.com/office/drawing/2014/main" id="{00000000-0008-0000-0E00-000026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806</xdr:row>
      <xdr:rowOff>0</xdr:rowOff>
    </xdr:from>
    <xdr:ext cx="381000" cy="381000"/>
    <xdr:pic>
      <xdr:nvPicPr>
        <xdr:cNvPr id="807" name="image86.jpg">
          <a:extLst>
            <a:ext uri="{FF2B5EF4-FFF2-40B4-BE49-F238E27FC236}">
              <a16:creationId xmlns:a16="http://schemas.microsoft.com/office/drawing/2014/main" id="{00000000-0008-0000-0E00-000027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807</xdr:row>
      <xdr:rowOff>0</xdr:rowOff>
    </xdr:from>
    <xdr:ext cx="381000" cy="381000"/>
    <xdr:pic>
      <xdr:nvPicPr>
        <xdr:cNvPr id="808" name="image86.jpg">
          <a:extLst>
            <a:ext uri="{FF2B5EF4-FFF2-40B4-BE49-F238E27FC236}">
              <a16:creationId xmlns:a16="http://schemas.microsoft.com/office/drawing/2014/main" id="{00000000-0008-0000-0E00-000028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808</xdr:row>
      <xdr:rowOff>0</xdr:rowOff>
    </xdr:from>
    <xdr:ext cx="381000" cy="381000"/>
    <xdr:pic>
      <xdr:nvPicPr>
        <xdr:cNvPr id="809" name="image86.jpg">
          <a:extLst>
            <a:ext uri="{FF2B5EF4-FFF2-40B4-BE49-F238E27FC236}">
              <a16:creationId xmlns:a16="http://schemas.microsoft.com/office/drawing/2014/main" id="{00000000-0008-0000-0E00-000029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809</xdr:row>
      <xdr:rowOff>0</xdr:rowOff>
    </xdr:from>
    <xdr:ext cx="381000" cy="381000"/>
    <xdr:pic>
      <xdr:nvPicPr>
        <xdr:cNvPr id="810" name="image86.jpg">
          <a:extLst>
            <a:ext uri="{FF2B5EF4-FFF2-40B4-BE49-F238E27FC236}">
              <a16:creationId xmlns:a16="http://schemas.microsoft.com/office/drawing/2014/main" id="{00000000-0008-0000-0E00-00002A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810</xdr:row>
      <xdr:rowOff>0</xdr:rowOff>
    </xdr:from>
    <xdr:ext cx="381000" cy="381000"/>
    <xdr:pic>
      <xdr:nvPicPr>
        <xdr:cNvPr id="811" name="image86.jpg">
          <a:extLst>
            <a:ext uri="{FF2B5EF4-FFF2-40B4-BE49-F238E27FC236}">
              <a16:creationId xmlns:a16="http://schemas.microsoft.com/office/drawing/2014/main" id="{00000000-0008-0000-0E00-00002B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811</xdr:row>
      <xdr:rowOff>0</xdr:rowOff>
    </xdr:from>
    <xdr:ext cx="381000" cy="381000"/>
    <xdr:pic>
      <xdr:nvPicPr>
        <xdr:cNvPr id="812" name="image86.jpg">
          <a:extLst>
            <a:ext uri="{FF2B5EF4-FFF2-40B4-BE49-F238E27FC236}">
              <a16:creationId xmlns:a16="http://schemas.microsoft.com/office/drawing/2014/main" id="{00000000-0008-0000-0E00-00002C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812</xdr:row>
      <xdr:rowOff>0</xdr:rowOff>
    </xdr:from>
    <xdr:ext cx="381000" cy="381000"/>
    <xdr:pic>
      <xdr:nvPicPr>
        <xdr:cNvPr id="813" name="image86.jpg">
          <a:extLst>
            <a:ext uri="{FF2B5EF4-FFF2-40B4-BE49-F238E27FC236}">
              <a16:creationId xmlns:a16="http://schemas.microsoft.com/office/drawing/2014/main" id="{00000000-0008-0000-0E00-00002D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813</xdr:row>
      <xdr:rowOff>0</xdr:rowOff>
    </xdr:from>
    <xdr:ext cx="381000" cy="381000"/>
    <xdr:pic>
      <xdr:nvPicPr>
        <xdr:cNvPr id="814" name="image86.jpg">
          <a:extLst>
            <a:ext uri="{FF2B5EF4-FFF2-40B4-BE49-F238E27FC236}">
              <a16:creationId xmlns:a16="http://schemas.microsoft.com/office/drawing/2014/main" id="{00000000-0008-0000-0E00-00002E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814</xdr:row>
      <xdr:rowOff>0</xdr:rowOff>
    </xdr:from>
    <xdr:ext cx="381000" cy="381000"/>
    <xdr:pic>
      <xdr:nvPicPr>
        <xdr:cNvPr id="815" name="image86.jpg">
          <a:extLst>
            <a:ext uri="{FF2B5EF4-FFF2-40B4-BE49-F238E27FC236}">
              <a16:creationId xmlns:a16="http://schemas.microsoft.com/office/drawing/2014/main" id="{00000000-0008-0000-0E00-00002F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815</xdr:row>
      <xdr:rowOff>0</xdr:rowOff>
    </xdr:from>
    <xdr:ext cx="381000" cy="381000"/>
    <xdr:pic>
      <xdr:nvPicPr>
        <xdr:cNvPr id="816" name="image86.jpg">
          <a:extLst>
            <a:ext uri="{FF2B5EF4-FFF2-40B4-BE49-F238E27FC236}">
              <a16:creationId xmlns:a16="http://schemas.microsoft.com/office/drawing/2014/main" id="{00000000-0008-0000-0E00-000030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816</xdr:row>
      <xdr:rowOff>0</xdr:rowOff>
    </xdr:from>
    <xdr:ext cx="381000" cy="381000"/>
    <xdr:pic>
      <xdr:nvPicPr>
        <xdr:cNvPr id="817" name="image86.jpg">
          <a:extLst>
            <a:ext uri="{FF2B5EF4-FFF2-40B4-BE49-F238E27FC236}">
              <a16:creationId xmlns:a16="http://schemas.microsoft.com/office/drawing/2014/main" id="{00000000-0008-0000-0E00-000031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817</xdr:row>
      <xdr:rowOff>0</xdr:rowOff>
    </xdr:from>
    <xdr:ext cx="381000" cy="381000"/>
    <xdr:pic>
      <xdr:nvPicPr>
        <xdr:cNvPr id="818" name="image86.jpg">
          <a:extLst>
            <a:ext uri="{FF2B5EF4-FFF2-40B4-BE49-F238E27FC236}">
              <a16:creationId xmlns:a16="http://schemas.microsoft.com/office/drawing/2014/main" id="{00000000-0008-0000-0E00-000032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818</xdr:row>
      <xdr:rowOff>0</xdr:rowOff>
    </xdr:from>
    <xdr:ext cx="381000" cy="381000"/>
    <xdr:pic>
      <xdr:nvPicPr>
        <xdr:cNvPr id="819" name="image86.jpg">
          <a:extLst>
            <a:ext uri="{FF2B5EF4-FFF2-40B4-BE49-F238E27FC236}">
              <a16:creationId xmlns:a16="http://schemas.microsoft.com/office/drawing/2014/main" id="{00000000-0008-0000-0E00-000033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819</xdr:row>
      <xdr:rowOff>0</xdr:rowOff>
    </xdr:from>
    <xdr:ext cx="381000" cy="381000"/>
    <xdr:pic>
      <xdr:nvPicPr>
        <xdr:cNvPr id="820" name="image86.jpg">
          <a:extLst>
            <a:ext uri="{FF2B5EF4-FFF2-40B4-BE49-F238E27FC236}">
              <a16:creationId xmlns:a16="http://schemas.microsoft.com/office/drawing/2014/main" id="{00000000-0008-0000-0E00-000034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820</xdr:row>
      <xdr:rowOff>0</xdr:rowOff>
    </xdr:from>
    <xdr:ext cx="381000" cy="381000"/>
    <xdr:pic>
      <xdr:nvPicPr>
        <xdr:cNvPr id="821" name="image86.jpg">
          <a:extLst>
            <a:ext uri="{FF2B5EF4-FFF2-40B4-BE49-F238E27FC236}">
              <a16:creationId xmlns:a16="http://schemas.microsoft.com/office/drawing/2014/main" id="{00000000-0008-0000-0E00-00003503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821</xdr:row>
      <xdr:rowOff>0</xdr:rowOff>
    </xdr:from>
    <xdr:ext cx="381000" cy="381000"/>
    <xdr:pic>
      <xdr:nvPicPr>
        <xdr:cNvPr id="822" name="image1.jpg">
          <a:extLst>
            <a:ext uri="{FF2B5EF4-FFF2-40B4-BE49-F238E27FC236}">
              <a16:creationId xmlns:a16="http://schemas.microsoft.com/office/drawing/2014/main" id="{00000000-0008-0000-0E00-00003603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2</xdr:col>
      <xdr:colOff>0</xdr:colOff>
      <xdr:row>822</xdr:row>
      <xdr:rowOff>0</xdr:rowOff>
    </xdr:from>
    <xdr:ext cx="381000" cy="381000"/>
    <xdr:pic>
      <xdr:nvPicPr>
        <xdr:cNvPr id="823" name="image1.jpg">
          <a:extLst>
            <a:ext uri="{FF2B5EF4-FFF2-40B4-BE49-F238E27FC236}">
              <a16:creationId xmlns:a16="http://schemas.microsoft.com/office/drawing/2014/main" id="{00000000-0008-0000-0E00-00003703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2</xdr:col>
      <xdr:colOff>0</xdr:colOff>
      <xdr:row>823</xdr:row>
      <xdr:rowOff>0</xdr:rowOff>
    </xdr:from>
    <xdr:ext cx="381000" cy="381000"/>
    <xdr:pic>
      <xdr:nvPicPr>
        <xdr:cNvPr id="824" name="image1.jpg">
          <a:extLst>
            <a:ext uri="{FF2B5EF4-FFF2-40B4-BE49-F238E27FC236}">
              <a16:creationId xmlns:a16="http://schemas.microsoft.com/office/drawing/2014/main" id="{00000000-0008-0000-0E00-00003803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2</xdr:col>
      <xdr:colOff>0</xdr:colOff>
      <xdr:row>824</xdr:row>
      <xdr:rowOff>0</xdr:rowOff>
    </xdr:from>
    <xdr:ext cx="381000" cy="381000"/>
    <xdr:pic>
      <xdr:nvPicPr>
        <xdr:cNvPr id="825" name="image1.jpg">
          <a:extLst>
            <a:ext uri="{FF2B5EF4-FFF2-40B4-BE49-F238E27FC236}">
              <a16:creationId xmlns:a16="http://schemas.microsoft.com/office/drawing/2014/main" id="{00000000-0008-0000-0E00-00003903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2</xdr:col>
      <xdr:colOff>0</xdr:colOff>
      <xdr:row>825</xdr:row>
      <xdr:rowOff>0</xdr:rowOff>
    </xdr:from>
    <xdr:ext cx="381000" cy="381000"/>
    <xdr:pic>
      <xdr:nvPicPr>
        <xdr:cNvPr id="826" name="image1.jpg">
          <a:extLst>
            <a:ext uri="{FF2B5EF4-FFF2-40B4-BE49-F238E27FC236}">
              <a16:creationId xmlns:a16="http://schemas.microsoft.com/office/drawing/2014/main" id="{00000000-0008-0000-0E00-00003A03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2</xdr:col>
      <xdr:colOff>0</xdr:colOff>
      <xdr:row>826</xdr:row>
      <xdr:rowOff>0</xdr:rowOff>
    </xdr:from>
    <xdr:ext cx="381000" cy="381000"/>
    <xdr:pic>
      <xdr:nvPicPr>
        <xdr:cNvPr id="827" name="image1.jpg">
          <a:extLst>
            <a:ext uri="{FF2B5EF4-FFF2-40B4-BE49-F238E27FC236}">
              <a16:creationId xmlns:a16="http://schemas.microsoft.com/office/drawing/2014/main" id="{00000000-0008-0000-0E00-00003B03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2</xdr:col>
      <xdr:colOff>0</xdr:colOff>
      <xdr:row>827</xdr:row>
      <xdr:rowOff>0</xdr:rowOff>
    </xdr:from>
    <xdr:ext cx="381000" cy="381000"/>
    <xdr:pic>
      <xdr:nvPicPr>
        <xdr:cNvPr id="828" name="image1.jpg">
          <a:extLst>
            <a:ext uri="{FF2B5EF4-FFF2-40B4-BE49-F238E27FC236}">
              <a16:creationId xmlns:a16="http://schemas.microsoft.com/office/drawing/2014/main" id="{00000000-0008-0000-0E00-00003C03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2</xdr:col>
      <xdr:colOff>0</xdr:colOff>
      <xdr:row>828</xdr:row>
      <xdr:rowOff>0</xdr:rowOff>
    </xdr:from>
    <xdr:ext cx="381000" cy="381000"/>
    <xdr:pic>
      <xdr:nvPicPr>
        <xdr:cNvPr id="829" name="image121.jpg">
          <a:extLst>
            <a:ext uri="{FF2B5EF4-FFF2-40B4-BE49-F238E27FC236}">
              <a16:creationId xmlns:a16="http://schemas.microsoft.com/office/drawing/2014/main" id="{00000000-0008-0000-0E00-00003D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829</xdr:row>
      <xdr:rowOff>0</xdr:rowOff>
    </xdr:from>
    <xdr:ext cx="381000" cy="381000"/>
    <xdr:pic>
      <xdr:nvPicPr>
        <xdr:cNvPr id="830" name="image121.jpg">
          <a:extLst>
            <a:ext uri="{FF2B5EF4-FFF2-40B4-BE49-F238E27FC236}">
              <a16:creationId xmlns:a16="http://schemas.microsoft.com/office/drawing/2014/main" id="{00000000-0008-0000-0E00-00003E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830</xdr:row>
      <xdr:rowOff>0</xdr:rowOff>
    </xdr:from>
    <xdr:ext cx="381000" cy="381000"/>
    <xdr:pic>
      <xdr:nvPicPr>
        <xdr:cNvPr id="831" name="image121.jpg">
          <a:extLst>
            <a:ext uri="{FF2B5EF4-FFF2-40B4-BE49-F238E27FC236}">
              <a16:creationId xmlns:a16="http://schemas.microsoft.com/office/drawing/2014/main" id="{00000000-0008-0000-0E00-00003F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831</xdr:row>
      <xdr:rowOff>0</xdr:rowOff>
    </xdr:from>
    <xdr:ext cx="381000" cy="381000"/>
    <xdr:pic>
      <xdr:nvPicPr>
        <xdr:cNvPr id="832" name="image121.jpg">
          <a:extLst>
            <a:ext uri="{FF2B5EF4-FFF2-40B4-BE49-F238E27FC236}">
              <a16:creationId xmlns:a16="http://schemas.microsoft.com/office/drawing/2014/main" id="{00000000-0008-0000-0E00-000040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832</xdr:row>
      <xdr:rowOff>0</xdr:rowOff>
    </xdr:from>
    <xdr:ext cx="381000" cy="381000"/>
    <xdr:pic>
      <xdr:nvPicPr>
        <xdr:cNvPr id="833" name="image121.jpg">
          <a:extLst>
            <a:ext uri="{FF2B5EF4-FFF2-40B4-BE49-F238E27FC236}">
              <a16:creationId xmlns:a16="http://schemas.microsoft.com/office/drawing/2014/main" id="{00000000-0008-0000-0E00-000041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833</xdr:row>
      <xdr:rowOff>0</xdr:rowOff>
    </xdr:from>
    <xdr:ext cx="381000" cy="381000"/>
    <xdr:pic>
      <xdr:nvPicPr>
        <xdr:cNvPr id="834" name="image121.jpg">
          <a:extLst>
            <a:ext uri="{FF2B5EF4-FFF2-40B4-BE49-F238E27FC236}">
              <a16:creationId xmlns:a16="http://schemas.microsoft.com/office/drawing/2014/main" id="{00000000-0008-0000-0E00-000042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834</xdr:row>
      <xdr:rowOff>0</xdr:rowOff>
    </xdr:from>
    <xdr:ext cx="381000" cy="381000"/>
    <xdr:pic>
      <xdr:nvPicPr>
        <xdr:cNvPr id="835" name="image121.jpg">
          <a:extLst>
            <a:ext uri="{FF2B5EF4-FFF2-40B4-BE49-F238E27FC236}">
              <a16:creationId xmlns:a16="http://schemas.microsoft.com/office/drawing/2014/main" id="{00000000-0008-0000-0E00-000043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835</xdr:row>
      <xdr:rowOff>0</xdr:rowOff>
    </xdr:from>
    <xdr:ext cx="381000" cy="381000"/>
    <xdr:pic>
      <xdr:nvPicPr>
        <xdr:cNvPr id="836" name="image121.jpg">
          <a:extLst>
            <a:ext uri="{FF2B5EF4-FFF2-40B4-BE49-F238E27FC236}">
              <a16:creationId xmlns:a16="http://schemas.microsoft.com/office/drawing/2014/main" id="{00000000-0008-0000-0E00-000044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836</xdr:row>
      <xdr:rowOff>0</xdr:rowOff>
    </xdr:from>
    <xdr:ext cx="381000" cy="381000"/>
    <xdr:pic>
      <xdr:nvPicPr>
        <xdr:cNvPr id="837" name="image121.jpg">
          <a:extLst>
            <a:ext uri="{FF2B5EF4-FFF2-40B4-BE49-F238E27FC236}">
              <a16:creationId xmlns:a16="http://schemas.microsoft.com/office/drawing/2014/main" id="{00000000-0008-0000-0E00-000045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837</xdr:row>
      <xdr:rowOff>0</xdr:rowOff>
    </xdr:from>
    <xdr:ext cx="381000" cy="381000"/>
    <xdr:pic>
      <xdr:nvPicPr>
        <xdr:cNvPr id="838" name="image121.jpg">
          <a:extLst>
            <a:ext uri="{FF2B5EF4-FFF2-40B4-BE49-F238E27FC236}">
              <a16:creationId xmlns:a16="http://schemas.microsoft.com/office/drawing/2014/main" id="{00000000-0008-0000-0E00-000046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838</xdr:row>
      <xdr:rowOff>0</xdr:rowOff>
    </xdr:from>
    <xdr:ext cx="381000" cy="381000"/>
    <xdr:pic>
      <xdr:nvPicPr>
        <xdr:cNvPr id="839" name="image121.jpg">
          <a:extLst>
            <a:ext uri="{FF2B5EF4-FFF2-40B4-BE49-F238E27FC236}">
              <a16:creationId xmlns:a16="http://schemas.microsoft.com/office/drawing/2014/main" id="{00000000-0008-0000-0E00-000047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839</xdr:row>
      <xdr:rowOff>0</xdr:rowOff>
    </xdr:from>
    <xdr:ext cx="381000" cy="381000"/>
    <xdr:pic>
      <xdr:nvPicPr>
        <xdr:cNvPr id="840" name="image121.jpg">
          <a:extLst>
            <a:ext uri="{FF2B5EF4-FFF2-40B4-BE49-F238E27FC236}">
              <a16:creationId xmlns:a16="http://schemas.microsoft.com/office/drawing/2014/main" id="{00000000-0008-0000-0E00-000048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840</xdr:row>
      <xdr:rowOff>0</xdr:rowOff>
    </xdr:from>
    <xdr:ext cx="381000" cy="381000"/>
    <xdr:pic>
      <xdr:nvPicPr>
        <xdr:cNvPr id="841" name="image121.jpg">
          <a:extLst>
            <a:ext uri="{FF2B5EF4-FFF2-40B4-BE49-F238E27FC236}">
              <a16:creationId xmlns:a16="http://schemas.microsoft.com/office/drawing/2014/main" id="{00000000-0008-0000-0E00-000049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841</xdr:row>
      <xdr:rowOff>0</xdr:rowOff>
    </xdr:from>
    <xdr:ext cx="381000" cy="381000"/>
    <xdr:pic>
      <xdr:nvPicPr>
        <xdr:cNvPr id="842" name="image121.jpg">
          <a:extLst>
            <a:ext uri="{FF2B5EF4-FFF2-40B4-BE49-F238E27FC236}">
              <a16:creationId xmlns:a16="http://schemas.microsoft.com/office/drawing/2014/main" id="{00000000-0008-0000-0E00-00004A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842</xdr:row>
      <xdr:rowOff>0</xdr:rowOff>
    </xdr:from>
    <xdr:ext cx="381000" cy="381000"/>
    <xdr:pic>
      <xdr:nvPicPr>
        <xdr:cNvPr id="843" name="image121.jpg">
          <a:extLst>
            <a:ext uri="{FF2B5EF4-FFF2-40B4-BE49-F238E27FC236}">
              <a16:creationId xmlns:a16="http://schemas.microsoft.com/office/drawing/2014/main" id="{00000000-0008-0000-0E00-00004B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843</xdr:row>
      <xdr:rowOff>0</xdr:rowOff>
    </xdr:from>
    <xdr:ext cx="381000" cy="381000"/>
    <xdr:pic>
      <xdr:nvPicPr>
        <xdr:cNvPr id="844" name="image121.jpg">
          <a:extLst>
            <a:ext uri="{FF2B5EF4-FFF2-40B4-BE49-F238E27FC236}">
              <a16:creationId xmlns:a16="http://schemas.microsoft.com/office/drawing/2014/main" id="{00000000-0008-0000-0E00-00004C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844</xdr:row>
      <xdr:rowOff>0</xdr:rowOff>
    </xdr:from>
    <xdr:ext cx="381000" cy="381000"/>
    <xdr:pic>
      <xdr:nvPicPr>
        <xdr:cNvPr id="845" name="image121.jpg">
          <a:extLst>
            <a:ext uri="{FF2B5EF4-FFF2-40B4-BE49-F238E27FC236}">
              <a16:creationId xmlns:a16="http://schemas.microsoft.com/office/drawing/2014/main" id="{00000000-0008-0000-0E00-00004D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845</xdr:row>
      <xdr:rowOff>0</xdr:rowOff>
    </xdr:from>
    <xdr:ext cx="381000" cy="381000"/>
    <xdr:pic>
      <xdr:nvPicPr>
        <xdr:cNvPr id="846" name="image121.jpg">
          <a:extLst>
            <a:ext uri="{FF2B5EF4-FFF2-40B4-BE49-F238E27FC236}">
              <a16:creationId xmlns:a16="http://schemas.microsoft.com/office/drawing/2014/main" id="{00000000-0008-0000-0E00-00004E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846</xdr:row>
      <xdr:rowOff>0</xdr:rowOff>
    </xdr:from>
    <xdr:ext cx="381000" cy="381000"/>
    <xdr:pic>
      <xdr:nvPicPr>
        <xdr:cNvPr id="847" name="image121.jpg">
          <a:extLst>
            <a:ext uri="{FF2B5EF4-FFF2-40B4-BE49-F238E27FC236}">
              <a16:creationId xmlns:a16="http://schemas.microsoft.com/office/drawing/2014/main" id="{00000000-0008-0000-0E00-00004F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847</xdr:row>
      <xdr:rowOff>0</xdr:rowOff>
    </xdr:from>
    <xdr:ext cx="381000" cy="381000"/>
    <xdr:pic>
      <xdr:nvPicPr>
        <xdr:cNvPr id="848" name="image121.jpg">
          <a:extLst>
            <a:ext uri="{FF2B5EF4-FFF2-40B4-BE49-F238E27FC236}">
              <a16:creationId xmlns:a16="http://schemas.microsoft.com/office/drawing/2014/main" id="{00000000-0008-0000-0E00-000050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848</xdr:row>
      <xdr:rowOff>0</xdr:rowOff>
    </xdr:from>
    <xdr:ext cx="381000" cy="381000"/>
    <xdr:pic>
      <xdr:nvPicPr>
        <xdr:cNvPr id="849" name="image121.jpg">
          <a:extLst>
            <a:ext uri="{FF2B5EF4-FFF2-40B4-BE49-F238E27FC236}">
              <a16:creationId xmlns:a16="http://schemas.microsoft.com/office/drawing/2014/main" id="{00000000-0008-0000-0E00-000051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849</xdr:row>
      <xdr:rowOff>0</xdr:rowOff>
    </xdr:from>
    <xdr:ext cx="381000" cy="381000"/>
    <xdr:pic>
      <xdr:nvPicPr>
        <xdr:cNvPr id="850" name="image121.jpg">
          <a:extLst>
            <a:ext uri="{FF2B5EF4-FFF2-40B4-BE49-F238E27FC236}">
              <a16:creationId xmlns:a16="http://schemas.microsoft.com/office/drawing/2014/main" id="{00000000-0008-0000-0E00-000052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850</xdr:row>
      <xdr:rowOff>0</xdr:rowOff>
    </xdr:from>
    <xdr:ext cx="381000" cy="381000"/>
    <xdr:pic>
      <xdr:nvPicPr>
        <xdr:cNvPr id="851" name="image121.jpg">
          <a:extLst>
            <a:ext uri="{FF2B5EF4-FFF2-40B4-BE49-F238E27FC236}">
              <a16:creationId xmlns:a16="http://schemas.microsoft.com/office/drawing/2014/main" id="{00000000-0008-0000-0E00-000053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851</xdr:row>
      <xdr:rowOff>0</xdr:rowOff>
    </xdr:from>
    <xdr:ext cx="381000" cy="381000"/>
    <xdr:pic>
      <xdr:nvPicPr>
        <xdr:cNvPr id="852" name="image121.jpg">
          <a:extLst>
            <a:ext uri="{FF2B5EF4-FFF2-40B4-BE49-F238E27FC236}">
              <a16:creationId xmlns:a16="http://schemas.microsoft.com/office/drawing/2014/main" id="{00000000-0008-0000-0E00-000054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852</xdr:row>
      <xdr:rowOff>0</xdr:rowOff>
    </xdr:from>
    <xdr:ext cx="381000" cy="381000"/>
    <xdr:pic>
      <xdr:nvPicPr>
        <xdr:cNvPr id="853" name="image121.jpg">
          <a:extLst>
            <a:ext uri="{FF2B5EF4-FFF2-40B4-BE49-F238E27FC236}">
              <a16:creationId xmlns:a16="http://schemas.microsoft.com/office/drawing/2014/main" id="{00000000-0008-0000-0E00-000055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853</xdr:row>
      <xdr:rowOff>0</xdr:rowOff>
    </xdr:from>
    <xdr:ext cx="381000" cy="381000"/>
    <xdr:pic>
      <xdr:nvPicPr>
        <xdr:cNvPr id="854" name="image121.jpg">
          <a:extLst>
            <a:ext uri="{FF2B5EF4-FFF2-40B4-BE49-F238E27FC236}">
              <a16:creationId xmlns:a16="http://schemas.microsoft.com/office/drawing/2014/main" id="{00000000-0008-0000-0E00-000056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854</xdr:row>
      <xdr:rowOff>0</xdr:rowOff>
    </xdr:from>
    <xdr:ext cx="381000" cy="381000"/>
    <xdr:pic>
      <xdr:nvPicPr>
        <xdr:cNvPr id="855" name="image121.jpg">
          <a:extLst>
            <a:ext uri="{FF2B5EF4-FFF2-40B4-BE49-F238E27FC236}">
              <a16:creationId xmlns:a16="http://schemas.microsoft.com/office/drawing/2014/main" id="{00000000-0008-0000-0E00-000057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855</xdr:row>
      <xdr:rowOff>0</xdr:rowOff>
    </xdr:from>
    <xdr:ext cx="381000" cy="381000"/>
    <xdr:pic>
      <xdr:nvPicPr>
        <xdr:cNvPr id="856" name="image121.jpg">
          <a:extLst>
            <a:ext uri="{FF2B5EF4-FFF2-40B4-BE49-F238E27FC236}">
              <a16:creationId xmlns:a16="http://schemas.microsoft.com/office/drawing/2014/main" id="{00000000-0008-0000-0E00-00005803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856</xdr:row>
      <xdr:rowOff>0</xdr:rowOff>
    </xdr:from>
    <xdr:ext cx="381000" cy="381000"/>
    <xdr:pic>
      <xdr:nvPicPr>
        <xdr:cNvPr id="857" name="image90.jpg">
          <a:extLst>
            <a:ext uri="{FF2B5EF4-FFF2-40B4-BE49-F238E27FC236}">
              <a16:creationId xmlns:a16="http://schemas.microsoft.com/office/drawing/2014/main" id="{00000000-0008-0000-0E00-00005903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857</xdr:row>
      <xdr:rowOff>0</xdr:rowOff>
    </xdr:from>
    <xdr:ext cx="381000" cy="381000"/>
    <xdr:pic>
      <xdr:nvPicPr>
        <xdr:cNvPr id="858" name="image90.jpg">
          <a:extLst>
            <a:ext uri="{FF2B5EF4-FFF2-40B4-BE49-F238E27FC236}">
              <a16:creationId xmlns:a16="http://schemas.microsoft.com/office/drawing/2014/main" id="{00000000-0008-0000-0E00-00005A03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858</xdr:row>
      <xdr:rowOff>0</xdr:rowOff>
    </xdr:from>
    <xdr:ext cx="381000" cy="381000"/>
    <xdr:pic>
      <xdr:nvPicPr>
        <xdr:cNvPr id="859" name="image90.jpg">
          <a:extLst>
            <a:ext uri="{FF2B5EF4-FFF2-40B4-BE49-F238E27FC236}">
              <a16:creationId xmlns:a16="http://schemas.microsoft.com/office/drawing/2014/main" id="{00000000-0008-0000-0E00-00005B03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859</xdr:row>
      <xdr:rowOff>0</xdr:rowOff>
    </xdr:from>
    <xdr:ext cx="381000" cy="381000"/>
    <xdr:pic>
      <xdr:nvPicPr>
        <xdr:cNvPr id="860" name="image90.jpg">
          <a:extLst>
            <a:ext uri="{FF2B5EF4-FFF2-40B4-BE49-F238E27FC236}">
              <a16:creationId xmlns:a16="http://schemas.microsoft.com/office/drawing/2014/main" id="{00000000-0008-0000-0E00-00005C03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860</xdr:row>
      <xdr:rowOff>0</xdr:rowOff>
    </xdr:from>
    <xdr:ext cx="381000" cy="381000"/>
    <xdr:pic>
      <xdr:nvPicPr>
        <xdr:cNvPr id="861" name="image90.jpg">
          <a:extLst>
            <a:ext uri="{FF2B5EF4-FFF2-40B4-BE49-F238E27FC236}">
              <a16:creationId xmlns:a16="http://schemas.microsoft.com/office/drawing/2014/main" id="{00000000-0008-0000-0E00-00005D03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861</xdr:row>
      <xdr:rowOff>0</xdr:rowOff>
    </xdr:from>
    <xdr:ext cx="381000" cy="381000"/>
    <xdr:pic>
      <xdr:nvPicPr>
        <xdr:cNvPr id="862" name="image90.jpg">
          <a:extLst>
            <a:ext uri="{FF2B5EF4-FFF2-40B4-BE49-F238E27FC236}">
              <a16:creationId xmlns:a16="http://schemas.microsoft.com/office/drawing/2014/main" id="{00000000-0008-0000-0E00-00005E03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862</xdr:row>
      <xdr:rowOff>0</xdr:rowOff>
    </xdr:from>
    <xdr:ext cx="381000" cy="381000"/>
    <xdr:pic>
      <xdr:nvPicPr>
        <xdr:cNvPr id="863" name="image90.jpg">
          <a:extLst>
            <a:ext uri="{FF2B5EF4-FFF2-40B4-BE49-F238E27FC236}">
              <a16:creationId xmlns:a16="http://schemas.microsoft.com/office/drawing/2014/main" id="{00000000-0008-0000-0E00-00005F03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863</xdr:row>
      <xdr:rowOff>0</xdr:rowOff>
    </xdr:from>
    <xdr:ext cx="381000" cy="381000"/>
    <xdr:pic>
      <xdr:nvPicPr>
        <xdr:cNvPr id="864" name="image90.jpg">
          <a:extLst>
            <a:ext uri="{FF2B5EF4-FFF2-40B4-BE49-F238E27FC236}">
              <a16:creationId xmlns:a16="http://schemas.microsoft.com/office/drawing/2014/main" id="{00000000-0008-0000-0E00-00006003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864</xdr:row>
      <xdr:rowOff>0</xdr:rowOff>
    </xdr:from>
    <xdr:ext cx="381000" cy="381000"/>
    <xdr:pic>
      <xdr:nvPicPr>
        <xdr:cNvPr id="865" name="image138.png">
          <a:extLst>
            <a:ext uri="{FF2B5EF4-FFF2-40B4-BE49-F238E27FC236}">
              <a16:creationId xmlns:a16="http://schemas.microsoft.com/office/drawing/2014/main" id="{00000000-0008-0000-0E00-00006103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2</xdr:col>
      <xdr:colOff>0</xdr:colOff>
      <xdr:row>865</xdr:row>
      <xdr:rowOff>0</xdr:rowOff>
    </xdr:from>
    <xdr:ext cx="381000" cy="381000"/>
    <xdr:pic>
      <xdr:nvPicPr>
        <xdr:cNvPr id="866" name="image138.png">
          <a:extLst>
            <a:ext uri="{FF2B5EF4-FFF2-40B4-BE49-F238E27FC236}">
              <a16:creationId xmlns:a16="http://schemas.microsoft.com/office/drawing/2014/main" id="{00000000-0008-0000-0E00-00006203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2</xdr:col>
      <xdr:colOff>0</xdr:colOff>
      <xdr:row>866</xdr:row>
      <xdr:rowOff>0</xdr:rowOff>
    </xdr:from>
    <xdr:ext cx="381000" cy="381000"/>
    <xdr:pic>
      <xdr:nvPicPr>
        <xdr:cNvPr id="867" name="image117.jpg">
          <a:extLst>
            <a:ext uri="{FF2B5EF4-FFF2-40B4-BE49-F238E27FC236}">
              <a16:creationId xmlns:a16="http://schemas.microsoft.com/office/drawing/2014/main" id="{00000000-0008-0000-0E00-000063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867</xdr:row>
      <xdr:rowOff>0</xdr:rowOff>
    </xdr:from>
    <xdr:ext cx="381000" cy="381000"/>
    <xdr:pic>
      <xdr:nvPicPr>
        <xdr:cNvPr id="868" name="image117.jpg">
          <a:extLst>
            <a:ext uri="{FF2B5EF4-FFF2-40B4-BE49-F238E27FC236}">
              <a16:creationId xmlns:a16="http://schemas.microsoft.com/office/drawing/2014/main" id="{00000000-0008-0000-0E00-000064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868</xdr:row>
      <xdr:rowOff>0</xdr:rowOff>
    </xdr:from>
    <xdr:ext cx="381000" cy="381000"/>
    <xdr:pic>
      <xdr:nvPicPr>
        <xdr:cNvPr id="869" name="image117.jpg">
          <a:extLst>
            <a:ext uri="{FF2B5EF4-FFF2-40B4-BE49-F238E27FC236}">
              <a16:creationId xmlns:a16="http://schemas.microsoft.com/office/drawing/2014/main" id="{00000000-0008-0000-0E00-000065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869</xdr:row>
      <xdr:rowOff>0</xdr:rowOff>
    </xdr:from>
    <xdr:ext cx="381000" cy="381000"/>
    <xdr:pic>
      <xdr:nvPicPr>
        <xdr:cNvPr id="870" name="image117.jpg">
          <a:extLst>
            <a:ext uri="{FF2B5EF4-FFF2-40B4-BE49-F238E27FC236}">
              <a16:creationId xmlns:a16="http://schemas.microsoft.com/office/drawing/2014/main" id="{00000000-0008-0000-0E00-000066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870</xdr:row>
      <xdr:rowOff>0</xdr:rowOff>
    </xdr:from>
    <xdr:ext cx="381000" cy="381000"/>
    <xdr:pic>
      <xdr:nvPicPr>
        <xdr:cNvPr id="871" name="image117.jpg">
          <a:extLst>
            <a:ext uri="{FF2B5EF4-FFF2-40B4-BE49-F238E27FC236}">
              <a16:creationId xmlns:a16="http://schemas.microsoft.com/office/drawing/2014/main" id="{00000000-0008-0000-0E00-000067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871</xdr:row>
      <xdr:rowOff>0</xdr:rowOff>
    </xdr:from>
    <xdr:ext cx="381000" cy="381000"/>
    <xdr:pic>
      <xdr:nvPicPr>
        <xdr:cNvPr id="872" name="image117.jpg">
          <a:extLst>
            <a:ext uri="{FF2B5EF4-FFF2-40B4-BE49-F238E27FC236}">
              <a16:creationId xmlns:a16="http://schemas.microsoft.com/office/drawing/2014/main" id="{00000000-0008-0000-0E00-000068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872</xdr:row>
      <xdr:rowOff>0</xdr:rowOff>
    </xdr:from>
    <xdr:ext cx="381000" cy="381000"/>
    <xdr:pic>
      <xdr:nvPicPr>
        <xdr:cNvPr id="873" name="image117.jpg">
          <a:extLst>
            <a:ext uri="{FF2B5EF4-FFF2-40B4-BE49-F238E27FC236}">
              <a16:creationId xmlns:a16="http://schemas.microsoft.com/office/drawing/2014/main" id="{00000000-0008-0000-0E00-000069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873</xdr:row>
      <xdr:rowOff>0</xdr:rowOff>
    </xdr:from>
    <xdr:ext cx="381000" cy="381000"/>
    <xdr:pic>
      <xdr:nvPicPr>
        <xdr:cNvPr id="874" name="image117.jpg">
          <a:extLst>
            <a:ext uri="{FF2B5EF4-FFF2-40B4-BE49-F238E27FC236}">
              <a16:creationId xmlns:a16="http://schemas.microsoft.com/office/drawing/2014/main" id="{00000000-0008-0000-0E00-00006A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874</xdr:row>
      <xdr:rowOff>0</xdr:rowOff>
    </xdr:from>
    <xdr:ext cx="381000" cy="381000"/>
    <xdr:pic>
      <xdr:nvPicPr>
        <xdr:cNvPr id="875" name="image117.jpg">
          <a:extLst>
            <a:ext uri="{FF2B5EF4-FFF2-40B4-BE49-F238E27FC236}">
              <a16:creationId xmlns:a16="http://schemas.microsoft.com/office/drawing/2014/main" id="{00000000-0008-0000-0E00-00006B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875</xdr:row>
      <xdr:rowOff>0</xdr:rowOff>
    </xdr:from>
    <xdr:ext cx="381000" cy="381000"/>
    <xdr:pic>
      <xdr:nvPicPr>
        <xdr:cNvPr id="876" name="image117.jpg">
          <a:extLst>
            <a:ext uri="{FF2B5EF4-FFF2-40B4-BE49-F238E27FC236}">
              <a16:creationId xmlns:a16="http://schemas.microsoft.com/office/drawing/2014/main" id="{00000000-0008-0000-0E00-00006C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876</xdr:row>
      <xdr:rowOff>0</xdr:rowOff>
    </xdr:from>
    <xdr:ext cx="381000" cy="381000"/>
    <xdr:pic>
      <xdr:nvPicPr>
        <xdr:cNvPr id="877" name="image117.jpg">
          <a:extLst>
            <a:ext uri="{FF2B5EF4-FFF2-40B4-BE49-F238E27FC236}">
              <a16:creationId xmlns:a16="http://schemas.microsoft.com/office/drawing/2014/main" id="{00000000-0008-0000-0E00-00006D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877</xdr:row>
      <xdr:rowOff>0</xdr:rowOff>
    </xdr:from>
    <xdr:ext cx="381000" cy="381000"/>
    <xdr:pic>
      <xdr:nvPicPr>
        <xdr:cNvPr id="878" name="image117.jpg">
          <a:extLst>
            <a:ext uri="{FF2B5EF4-FFF2-40B4-BE49-F238E27FC236}">
              <a16:creationId xmlns:a16="http://schemas.microsoft.com/office/drawing/2014/main" id="{00000000-0008-0000-0E00-00006E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878</xdr:row>
      <xdr:rowOff>0</xdr:rowOff>
    </xdr:from>
    <xdr:ext cx="381000" cy="381000"/>
    <xdr:pic>
      <xdr:nvPicPr>
        <xdr:cNvPr id="879" name="image117.jpg">
          <a:extLst>
            <a:ext uri="{FF2B5EF4-FFF2-40B4-BE49-F238E27FC236}">
              <a16:creationId xmlns:a16="http://schemas.microsoft.com/office/drawing/2014/main" id="{00000000-0008-0000-0E00-00006F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879</xdr:row>
      <xdr:rowOff>0</xdr:rowOff>
    </xdr:from>
    <xdr:ext cx="381000" cy="381000"/>
    <xdr:pic>
      <xdr:nvPicPr>
        <xdr:cNvPr id="880" name="image117.jpg">
          <a:extLst>
            <a:ext uri="{FF2B5EF4-FFF2-40B4-BE49-F238E27FC236}">
              <a16:creationId xmlns:a16="http://schemas.microsoft.com/office/drawing/2014/main" id="{00000000-0008-0000-0E00-000070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880</xdr:row>
      <xdr:rowOff>0</xdr:rowOff>
    </xdr:from>
    <xdr:ext cx="381000" cy="381000"/>
    <xdr:pic>
      <xdr:nvPicPr>
        <xdr:cNvPr id="881" name="image117.jpg">
          <a:extLst>
            <a:ext uri="{FF2B5EF4-FFF2-40B4-BE49-F238E27FC236}">
              <a16:creationId xmlns:a16="http://schemas.microsoft.com/office/drawing/2014/main" id="{00000000-0008-0000-0E00-000071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881</xdr:row>
      <xdr:rowOff>0</xdr:rowOff>
    </xdr:from>
    <xdr:ext cx="381000" cy="381000"/>
    <xdr:pic>
      <xdr:nvPicPr>
        <xdr:cNvPr id="882" name="image117.jpg">
          <a:extLst>
            <a:ext uri="{FF2B5EF4-FFF2-40B4-BE49-F238E27FC236}">
              <a16:creationId xmlns:a16="http://schemas.microsoft.com/office/drawing/2014/main" id="{00000000-0008-0000-0E00-000072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882</xdr:row>
      <xdr:rowOff>0</xdr:rowOff>
    </xdr:from>
    <xdr:ext cx="381000" cy="381000"/>
    <xdr:pic>
      <xdr:nvPicPr>
        <xdr:cNvPr id="883" name="image117.jpg">
          <a:extLst>
            <a:ext uri="{FF2B5EF4-FFF2-40B4-BE49-F238E27FC236}">
              <a16:creationId xmlns:a16="http://schemas.microsoft.com/office/drawing/2014/main" id="{00000000-0008-0000-0E00-000073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883</xdr:row>
      <xdr:rowOff>0</xdr:rowOff>
    </xdr:from>
    <xdr:ext cx="381000" cy="381000"/>
    <xdr:pic>
      <xdr:nvPicPr>
        <xdr:cNvPr id="884" name="image117.jpg">
          <a:extLst>
            <a:ext uri="{FF2B5EF4-FFF2-40B4-BE49-F238E27FC236}">
              <a16:creationId xmlns:a16="http://schemas.microsoft.com/office/drawing/2014/main" id="{00000000-0008-0000-0E00-000074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884</xdr:row>
      <xdr:rowOff>0</xdr:rowOff>
    </xdr:from>
    <xdr:ext cx="381000" cy="381000"/>
    <xdr:pic>
      <xdr:nvPicPr>
        <xdr:cNvPr id="885" name="image117.jpg">
          <a:extLst>
            <a:ext uri="{FF2B5EF4-FFF2-40B4-BE49-F238E27FC236}">
              <a16:creationId xmlns:a16="http://schemas.microsoft.com/office/drawing/2014/main" id="{00000000-0008-0000-0E00-00007503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885</xdr:row>
      <xdr:rowOff>0</xdr:rowOff>
    </xdr:from>
    <xdr:ext cx="381000" cy="381000"/>
    <xdr:pic>
      <xdr:nvPicPr>
        <xdr:cNvPr id="886" name="image155.png">
          <a:extLst>
            <a:ext uri="{FF2B5EF4-FFF2-40B4-BE49-F238E27FC236}">
              <a16:creationId xmlns:a16="http://schemas.microsoft.com/office/drawing/2014/main" id="{00000000-0008-0000-0E00-00007603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886</xdr:row>
      <xdr:rowOff>0</xdr:rowOff>
    </xdr:from>
    <xdr:ext cx="381000" cy="381000"/>
    <xdr:pic>
      <xdr:nvPicPr>
        <xdr:cNvPr id="887" name="image155.png">
          <a:extLst>
            <a:ext uri="{FF2B5EF4-FFF2-40B4-BE49-F238E27FC236}">
              <a16:creationId xmlns:a16="http://schemas.microsoft.com/office/drawing/2014/main" id="{00000000-0008-0000-0E00-00007703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887</xdr:row>
      <xdr:rowOff>0</xdr:rowOff>
    </xdr:from>
    <xdr:ext cx="371475" cy="381000"/>
    <xdr:pic>
      <xdr:nvPicPr>
        <xdr:cNvPr id="888" name="image165.png">
          <a:extLst>
            <a:ext uri="{FF2B5EF4-FFF2-40B4-BE49-F238E27FC236}">
              <a16:creationId xmlns:a16="http://schemas.microsoft.com/office/drawing/2014/main" id="{00000000-0008-0000-0E00-00007803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2</xdr:col>
      <xdr:colOff>0</xdr:colOff>
      <xdr:row>888</xdr:row>
      <xdr:rowOff>0</xdr:rowOff>
    </xdr:from>
    <xdr:ext cx="371475" cy="381000"/>
    <xdr:pic>
      <xdr:nvPicPr>
        <xdr:cNvPr id="889" name="image165.png">
          <a:extLst>
            <a:ext uri="{FF2B5EF4-FFF2-40B4-BE49-F238E27FC236}">
              <a16:creationId xmlns:a16="http://schemas.microsoft.com/office/drawing/2014/main" id="{00000000-0008-0000-0E00-00007903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2</xdr:col>
      <xdr:colOff>0</xdr:colOff>
      <xdr:row>889</xdr:row>
      <xdr:rowOff>0</xdr:rowOff>
    </xdr:from>
    <xdr:ext cx="381000" cy="381000"/>
    <xdr:pic>
      <xdr:nvPicPr>
        <xdr:cNvPr id="890" name="image89.jpg">
          <a:extLst>
            <a:ext uri="{FF2B5EF4-FFF2-40B4-BE49-F238E27FC236}">
              <a16:creationId xmlns:a16="http://schemas.microsoft.com/office/drawing/2014/main" id="{00000000-0008-0000-0E00-00007A03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2</xdr:col>
      <xdr:colOff>0</xdr:colOff>
      <xdr:row>890</xdr:row>
      <xdr:rowOff>0</xdr:rowOff>
    </xdr:from>
    <xdr:ext cx="381000" cy="381000"/>
    <xdr:pic>
      <xdr:nvPicPr>
        <xdr:cNvPr id="891" name="image89.jpg">
          <a:extLst>
            <a:ext uri="{FF2B5EF4-FFF2-40B4-BE49-F238E27FC236}">
              <a16:creationId xmlns:a16="http://schemas.microsoft.com/office/drawing/2014/main" id="{00000000-0008-0000-0E00-00007B03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2</xdr:col>
      <xdr:colOff>0</xdr:colOff>
      <xdr:row>891</xdr:row>
      <xdr:rowOff>0</xdr:rowOff>
    </xdr:from>
    <xdr:ext cx="381000" cy="381000"/>
    <xdr:pic>
      <xdr:nvPicPr>
        <xdr:cNvPr id="892" name="image127.jpg">
          <a:extLst>
            <a:ext uri="{FF2B5EF4-FFF2-40B4-BE49-F238E27FC236}">
              <a16:creationId xmlns:a16="http://schemas.microsoft.com/office/drawing/2014/main" id="{00000000-0008-0000-0E00-00007C03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2</xdr:col>
      <xdr:colOff>0</xdr:colOff>
      <xdr:row>892</xdr:row>
      <xdr:rowOff>0</xdr:rowOff>
    </xdr:from>
    <xdr:ext cx="381000" cy="381000"/>
    <xdr:pic>
      <xdr:nvPicPr>
        <xdr:cNvPr id="893" name="image127.jpg">
          <a:extLst>
            <a:ext uri="{FF2B5EF4-FFF2-40B4-BE49-F238E27FC236}">
              <a16:creationId xmlns:a16="http://schemas.microsoft.com/office/drawing/2014/main" id="{00000000-0008-0000-0E00-00007D03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2</xdr:col>
      <xdr:colOff>0</xdr:colOff>
      <xdr:row>893</xdr:row>
      <xdr:rowOff>0</xdr:rowOff>
    </xdr:from>
    <xdr:ext cx="371475" cy="381000"/>
    <xdr:pic>
      <xdr:nvPicPr>
        <xdr:cNvPr id="894" name="image137.png">
          <a:extLst>
            <a:ext uri="{FF2B5EF4-FFF2-40B4-BE49-F238E27FC236}">
              <a16:creationId xmlns:a16="http://schemas.microsoft.com/office/drawing/2014/main" id="{00000000-0008-0000-0E00-00007E03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2</xdr:col>
      <xdr:colOff>0</xdr:colOff>
      <xdr:row>894</xdr:row>
      <xdr:rowOff>0</xdr:rowOff>
    </xdr:from>
    <xdr:ext cx="371475" cy="381000"/>
    <xdr:pic>
      <xdr:nvPicPr>
        <xdr:cNvPr id="895" name="image137.png">
          <a:extLst>
            <a:ext uri="{FF2B5EF4-FFF2-40B4-BE49-F238E27FC236}">
              <a16:creationId xmlns:a16="http://schemas.microsoft.com/office/drawing/2014/main" id="{00000000-0008-0000-0E00-00007F03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2</xdr:col>
      <xdr:colOff>0</xdr:colOff>
      <xdr:row>895</xdr:row>
      <xdr:rowOff>0</xdr:rowOff>
    </xdr:from>
    <xdr:ext cx="381000" cy="381000"/>
    <xdr:pic>
      <xdr:nvPicPr>
        <xdr:cNvPr id="896" name="image92.jpg">
          <a:extLst>
            <a:ext uri="{FF2B5EF4-FFF2-40B4-BE49-F238E27FC236}">
              <a16:creationId xmlns:a16="http://schemas.microsoft.com/office/drawing/2014/main" id="{00000000-0008-0000-0E00-000080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896</xdr:row>
      <xdr:rowOff>0</xdr:rowOff>
    </xdr:from>
    <xdr:ext cx="381000" cy="381000"/>
    <xdr:pic>
      <xdr:nvPicPr>
        <xdr:cNvPr id="897" name="image92.jpg">
          <a:extLst>
            <a:ext uri="{FF2B5EF4-FFF2-40B4-BE49-F238E27FC236}">
              <a16:creationId xmlns:a16="http://schemas.microsoft.com/office/drawing/2014/main" id="{00000000-0008-0000-0E00-000081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897</xdr:row>
      <xdr:rowOff>0</xdr:rowOff>
    </xdr:from>
    <xdr:ext cx="381000" cy="381000"/>
    <xdr:pic>
      <xdr:nvPicPr>
        <xdr:cNvPr id="898" name="image92.jpg">
          <a:extLst>
            <a:ext uri="{FF2B5EF4-FFF2-40B4-BE49-F238E27FC236}">
              <a16:creationId xmlns:a16="http://schemas.microsoft.com/office/drawing/2014/main" id="{00000000-0008-0000-0E00-000082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898</xdr:row>
      <xdr:rowOff>0</xdr:rowOff>
    </xdr:from>
    <xdr:ext cx="381000" cy="381000"/>
    <xdr:pic>
      <xdr:nvPicPr>
        <xdr:cNvPr id="899" name="image92.jpg">
          <a:extLst>
            <a:ext uri="{FF2B5EF4-FFF2-40B4-BE49-F238E27FC236}">
              <a16:creationId xmlns:a16="http://schemas.microsoft.com/office/drawing/2014/main" id="{00000000-0008-0000-0E00-000083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899</xdr:row>
      <xdr:rowOff>0</xdr:rowOff>
    </xdr:from>
    <xdr:ext cx="381000" cy="381000"/>
    <xdr:pic>
      <xdr:nvPicPr>
        <xdr:cNvPr id="900" name="image92.jpg">
          <a:extLst>
            <a:ext uri="{FF2B5EF4-FFF2-40B4-BE49-F238E27FC236}">
              <a16:creationId xmlns:a16="http://schemas.microsoft.com/office/drawing/2014/main" id="{00000000-0008-0000-0E00-000084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900</xdr:row>
      <xdr:rowOff>0</xdr:rowOff>
    </xdr:from>
    <xdr:ext cx="381000" cy="381000"/>
    <xdr:pic>
      <xdr:nvPicPr>
        <xdr:cNvPr id="901" name="image92.jpg">
          <a:extLst>
            <a:ext uri="{FF2B5EF4-FFF2-40B4-BE49-F238E27FC236}">
              <a16:creationId xmlns:a16="http://schemas.microsoft.com/office/drawing/2014/main" id="{00000000-0008-0000-0E00-000085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901</xdr:row>
      <xdr:rowOff>0</xdr:rowOff>
    </xdr:from>
    <xdr:ext cx="381000" cy="381000"/>
    <xdr:pic>
      <xdr:nvPicPr>
        <xdr:cNvPr id="902" name="image92.jpg">
          <a:extLst>
            <a:ext uri="{FF2B5EF4-FFF2-40B4-BE49-F238E27FC236}">
              <a16:creationId xmlns:a16="http://schemas.microsoft.com/office/drawing/2014/main" id="{00000000-0008-0000-0E00-000086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902</xdr:row>
      <xdr:rowOff>0</xdr:rowOff>
    </xdr:from>
    <xdr:ext cx="381000" cy="381000"/>
    <xdr:pic>
      <xdr:nvPicPr>
        <xdr:cNvPr id="903" name="image92.jpg">
          <a:extLst>
            <a:ext uri="{FF2B5EF4-FFF2-40B4-BE49-F238E27FC236}">
              <a16:creationId xmlns:a16="http://schemas.microsoft.com/office/drawing/2014/main" id="{00000000-0008-0000-0E00-000087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903</xdr:row>
      <xdr:rowOff>0</xdr:rowOff>
    </xdr:from>
    <xdr:ext cx="381000" cy="381000"/>
    <xdr:pic>
      <xdr:nvPicPr>
        <xdr:cNvPr id="904" name="image92.jpg">
          <a:extLst>
            <a:ext uri="{FF2B5EF4-FFF2-40B4-BE49-F238E27FC236}">
              <a16:creationId xmlns:a16="http://schemas.microsoft.com/office/drawing/2014/main" id="{00000000-0008-0000-0E00-000088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904</xdr:row>
      <xdr:rowOff>0</xdr:rowOff>
    </xdr:from>
    <xdr:ext cx="381000" cy="381000"/>
    <xdr:pic>
      <xdr:nvPicPr>
        <xdr:cNvPr id="905" name="image92.jpg">
          <a:extLst>
            <a:ext uri="{FF2B5EF4-FFF2-40B4-BE49-F238E27FC236}">
              <a16:creationId xmlns:a16="http://schemas.microsoft.com/office/drawing/2014/main" id="{00000000-0008-0000-0E00-00008903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905</xdr:row>
      <xdr:rowOff>0</xdr:rowOff>
    </xdr:from>
    <xdr:ext cx="381000" cy="381000"/>
    <xdr:pic>
      <xdr:nvPicPr>
        <xdr:cNvPr id="906" name="image249.png">
          <a:extLst>
            <a:ext uri="{FF2B5EF4-FFF2-40B4-BE49-F238E27FC236}">
              <a16:creationId xmlns:a16="http://schemas.microsoft.com/office/drawing/2014/main" id="{00000000-0008-0000-0E00-00008A03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2</xdr:col>
      <xdr:colOff>0</xdr:colOff>
      <xdr:row>906</xdr:row>
      <xdr:rowOff>0</xdr:rowOff>
    </xdr:from>
    <xdr:ext cx="381000" cy="381000"/>
    <xdr:pic>
      <xdr:nvPicPr>
        <xdr:cNvPr id="907" name="image249.png">
          <a:extLst>
            <a:ext uri="{FF2B5EF4-FFF2-40B4-BE49-F238E27FC236}">
              <a16:creationId xmlns:a16="http://schemas.microsoft.com/office/drawing/2014/main" id="{00000000-0008-0000-0E00-00008B03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2</xdr:col>
      <xdr:colOff>0</xdr:colOff>
      <xdr:row>907</xdr:row>
      <xdr:rowOff>0</xdr:rowOff>
    </xdr:from>
    <xdr:ext cx="381000" cy="381000"/>
    <xdr:pic>
      <xdr:nvPicPr>
        <xdr:cNvPr id="908" name="image107.jpg">
          <a:extLst>
            <a:ext uri="{FF2B5EF4-FFF2-40B4-BE49-F238E27FC236}">
              <a16:creationId xmlns:a16="http://schemas.microsoft.com/office/drawing/2014/main" id="{00000000-0008-0000-0E00-00008C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908</xdr:row>
      <xdr:rowOff>0</xdr:rowOff>
    </xdr:from>
    <xdr:ext cx="381000" cy="381000"/>
    <xdr:pic>
      <xdr:nvPicPr>
        <xdr:cNvPr id="909" name="image107.jpg">
          <a:extLst>
            <a:ext uri="{FF2B5EF4-FFF2-40B4-BE49-F238E27FC236}">
              <a16:creationId xmlns:a16="http://schemas.microsoft.com/office/drawing/2014/main" id="{00000000-0008-0000-0E00-00008D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909</xdr:row>
      <xdr:rowOff>0</xdr:rowOff>
    </xdr:from>
    <xdr:ext cx="381000" cy="381000"/>
    <xdr:pic>
      <xdr:nvPicPr>
        <xdr:cNvPr id="910" name="image107.jpg">
          <a:extLst>
            <a:ext uri="{FF2B5EF4-FFF2-40B4-BE49-F238E27FC236}">
              <a16:creationId xmlns:a16="http://schemas.microsoft.com/office/drawing/2014/main" id="{00000000-0008-0000-0E00-00008E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910</xdr:row>
      <xdr:rowOff>0</xdr:rowOff>
    </xdr:from>
    <xdr:ext cx="381000" cy="381000"/>
    <xdr:pic>
      <xdr:nvPicPr>
        <xdr:cNvPr id="911" name="image107.jpg">
          <a:extLst>
            <a:ext uri="{FF2B5EF4-FFF2-40B4-BE49-F238E27FC236}">
              <a16:creationId xmlns:a16="http://schemas.microsoft.com/office/drawing/2014/main" id="{00000000-0008-0000-0E00-00008F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911</xdr:row>
      <xdr:rowOff>0</xdr:rowOff>
    </xdr:from>
    <xdr:ext cx="381000" cy="381000"/>
    <xdr:pic>
      <xdr:nvPicPr>
        <xdr:cNvPr id="912" name="image107.jpg">
          <a:extLst>
            <a:ext uri="{FF2B5EF4-FFF2-40B4-BE49-F238E27FC236}">
              <a16:creationId xmlns:a16="http://schemas.microsoft.com/office/drawing/2014/main" id="{00000000-0008-0000-0E00-000090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912</xdr:row>
      <xdr:rowOff>0</xdr:rowOff>
    </xdr:from>
    <xdr:ext cx="381000" cy="381000"/>
    <xdr:pic>
      <xdr:nvPicPr>
        <xdr:cNvPr id="913" name="image107.jpg">
          <a:extLst>
            <a:ext uri="{FF2B5EF4-FFF2-40B4-BE49-F238E27FC236}">
              <a16:creationId xmlns:a16="http://schemas.microsoft.com/office/drawing/2014/main" id="{00000000-0008-0000-0E00-000091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913</xdr:row>
      <xdr:rowOff>0</xdr:rowOff>
    </xdr:from>
    <xdr:ext cx="381000" cy="381000"/>
    <xdr:pic>
      <xdr:nvPicPr>
        <xdr:cNvPr id="914" name="image107.jpg">
          <a:extLst>
            <a:ext uri="{FF2B5EF4-FFF2-40B4-BE49-F238E27FC236}">
              <a16:creationId xmlns:a16="http://schemas.microsoft.com/office/drawing/2014/main" id="{00000000-0008-0000-0E00-000092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914</xdr:row>
      <xdr:rowOff>0</xdr:rowOff>
    </xdr:from>
    <xdr:ext cx="381000" cy="381000"/>
    <xdr:pic>
      <xdr:nvPicPr>
        <xdr:cNvPr id="915" name="image107.jpg">
          <a:extLst>
            <a:ext uri="{FF2B5EF4-FFF2-40B4-BE49-F238E27FC236}">
              <a16:creationId xmlns:a16="http://schemas.microsoft.com/office/drawing/2014/main" id="{00000000-0008-0000-0E00-000093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915</xdr:row>
      <xdr:rowOff>0</xdr:rowOff>
    </xdr:from>
    <xdr:ext cx="381000" cy="381000"/>
    <xdr:pic>
      <xdr:nvPicPr>
        <xdr:cNvPr id="916" name="image107.jpg">
          <a:extLst>
            <a:ext uri="{FF2B5EF4-FFF2-40B4-BE49-F238E27FC236}">
              <a16:creationId xmlns:a16="http://schemas.microsoft.com/office/drawing/2014/main" id="{00000000-0008-0000-0E00-000094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916</xdr:row>
      <xdr:rowOff>0</xdr:rowOff>
    </xdr:from>
    <xdr:ext cx="381000" cy="381000"/>
    <xdr:pic>
      <xdr:nvPicPr>
        <xdr:cNvPr id="917" name="image107.jpg">
          <a:extLst>
            <a:ext uri="{FF2B5EF4-FFF2-40B4-BE49-F238E27FC236}">
              <a16:creationId xmlns:a16="http://schemas.microsoft.com/office/drawing/2014/main" id="{00000000-0008-0000-0E00-000095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917</xdr:row>
      <xdr:rowOff>0</xdr:rowOff>
    </xdr:from>
    <xdr:ext cx="381000" cy="381000"/>
    <xdr:pic>
      <xdr:nvPicPr>
        <xdr:cNvPr id="918" name="image107.jpg">
          <a:extLst>
            <a:ext uri="{FF2B5EF4-FFF2-40B4-BE49-F238E27FC236}">
              <a16:creationId xmlns:a16="http://schemas.microsoft.com/office/drawing/2014/main" id="{00000000-0008-0000-0E00-000096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918</xdr:row>
      <xdr:rowOff>0</xdr:rowOff>
    </xdr:from>
    <xdr:ext cx="381000" cy="381000"/>
    <xdr:pic>
      <xdr:nvPicPr>
        <xdr:cNvPr id="919" name="image107.jpg">
          <a:extLst>
            <a:ext uri="{FF2B5EF4-FFF2-40B4-BE49-F238E27FC236}">
              <a16:creationId xmlns:a16="http://schemas.microsoft.com/office/drawing/2014/main" id="{00000000-0008-0000-0E00-000097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919</xdr:row>
      <xdr:rowOff>0</xdr:rowOff>
    </xdr:from>
    <xdr:ext cx="381000" cy="381000"/>
    <xdr:pic>
      <xdr:nvPicPr>
        <xdr:cNvPr id="920" name="image107.jpg">
          <a:extLst>
            <a:ext uri="{FF2B5EF4-FFF2-40B4-BE49-F238E27FC236}">
              <a16:creationId xmlns:a16="http://schemas.microsoft.com/office/drawing/2014/main" id="{00000000-0008-0000-0E00-000098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920</xdr:row>
      <xdr:rowOff>0</xdr:rowOff>
    </xdr:from>
    <xdr:ext cx="381000" cy="381000"/>
    <xdr:pic>
      <xdr:nvPicPr>
        <xdr:cNvPr id="921" name="image107.jpg">
          <a:extLst>
            <a:ext uri="{FF2B5EF4-FFF2-40B4-BE49-F238E27FC236}">
              <a16:creationId xmlns:a16="http://schemas.microsoft.com/office/drawing/2014/main" id="{00000000-0008-0000-0E00-000099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921</xdr:row>
      <xdr:rowOff>0</xdr:rowOff>
    </xdr:from>
    <xdr:ext cx="381000" cy="381000"/>
    <xdr:pic>
      <xdr:nvPicPr>
        <xdr:cNvPr id="922" name="image107.jpg">
          <a:extLst>
            <a:ext uri="{FF2B5EF4-FFF2-40B4-BE49-F238E27FC236}">
              <a16:creationId xmlns:a16="http://schemas.microsoft.com/office/drawing/2014/main" id="{00000000-0008-0000-0E00-00009A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922</xdr:row>
      <xdr:rowOff>0</xdr:rowOff>
    </xdr:from>
    <xdr:ext cx="381000" cy="381000"/>
    <xdr:pic>
      <xdr:nvPicPr>
        <xdr:cNvPr id="923" name="image107.jpg">
          <a:extLst>
            <a:ext uri="{FF2B5EF4-FFF2-40B4-BE49-F238E27FC236}">
              <a16:creationId xmlns:a16="http://schemas.microsoft.com/office/drawing/2014/main" id="{00000000-0008-0000-0E00-00009B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923</xdr:row>
      <xdr:rowOff>0</xdr:rowOff>
    </xdr:from>
    <xdr:ext cx="381000" cy="381000"/>
    <xdr:pic>
      <xdr:nvPicPr>
        <xdr:cNvPr id="924" name="image107.jpg">
          <a:extLst>
            <a:ext uri="{FF2B5EF4-FFF2-40B4-BE49-F238E27FC236}">
              <a16:creationId xmlns:a16="http://schemas.microsoft.com/office/drawing/2014/main" id="{00000000-0008-0000-0E00-00009C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924</xdr:row>
      <xdr:rowOff>0</xdr:rowOff>
    </xdr:from>
    <xdr:ext cx="381000" cy="381000"/>
    <xdr:pic>
      <xdr:nvPicPr>
        <xdr:cNvPr id="925" name="image107.jpg">
          <a:extLst>
            <a:ext uri="{FF2B5EF4-FFF2-40B4-BE49-F238E27FC236}">
              <a16:creationId xmlns:a16="http://schemas.microsoft.com/office/drawing/2014/main" id="{00000000-0008-0000-0E00-00009D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925</xdr:row>
      <xdr:rowOff>0</xdr:rowOff>
    </xdr:from>
    <xdr:ext cx="381000" cy="381000"/>
    <xdr:pic>
      <xdr:nvPicPr>
        <xdr:cNvPr id="926" name="image107.jpg">
          <a:extLst>
            <a:ext uri="{FF2B5EF4-FFF2-40B4-BE49-F238E27FC236}">
              <a16:creationId xmlns:a16="http://schemas.microsoft.com/office/drawing/2014/main" id="{00000000-0008-0000-0E00-00009E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926</xdr:row>
      <xdr:rowOff>0</xdr:rowOff>
    </xdr:from>
    <xdr:ext cx="381000" cy="381000"/>
    <xdr:pic>
      <xdr:nvPicPr>
        <xdr:cNvPr id="927" name="image107.jpg">
          <a:extLst>
            <a:ext uri="{FF2B5EF4-FFF2-40B4-BE49-F238E27FC236}">
              <a16:creationId xmlns:a16="http://schemas.microsoft.com/office/drawing/2014/main" id="{00000000-0008-0000-0E00-00009F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927</xdr:row>
      <xdr:rowOff>0</xdr:rowOff>
    </xdr:from>
    <xdr:ext cx="381000" cy="381000"/>
    <xdr:pic>
      <xdr:nvPicPr>
        <xdr:cNvPr id="928" name="image107.jpg">
          <a:extLst>
            <a:ext uri="{FF2B5EF4-FFF2-40B4-BE49-F238E27FC236}">
              <a16:creationId xmlns:a16="http://schemas.microsoft.com/office/drawing/2014/main" id="{00000000-0008-0000-0E00-0000A0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928</xdr:row>
      <xdr:rowOff>0</xdr:rowOff>
    </xdr:from>
    <xdr:ext cx="381000" cy="381000"/>
    <xdr:pic>
      <xdr:nvPicPr>
        <xdr:cNvPr id="929" name="image107.jpg">
          <a:extLst>
            <a:ext uri="{FF2B5EF4-FFF2-40B4-BE49-F238E27FC236}">
              <a16:creationId xmlns:a16="http://schemas.microsoft.com/office/drawing/2014/main" id="{00000000-0008-0000-0E00-0000A1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929</xdr:row>
      <xdr:rowOff>0</xdr:rowOff>
    </xdr:from>
    <xdr:ext cx="381000" cy="381000"/>
    <xdr:pic>
      <xdr:nvPicPr>
        <xdr:cNvPr id="930" name="image107.jpg">
          <a:extLst>
            <a:ext uri="{FF2B5EF4-FFF2-40B4-BE49-F238E27FC236}">
              <a16:creationId xmlns:a16="http://schemas.microsoft.com/office/drawing/2014/main" id="{00000000-0008-0000-0E00-0000A2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930</xdr:row>
      <xdr:rowOff>0</xdr:rowOff>
    </xdr:from>
    <xdr:ext cx="381000" cy="381000"/>
    <xdr:pic>
      <xdr:nvPicPr>
        <xdr:cNvPr id="931" name="image107.jpg">
          <a:extLst>
            <a:ext uri="{FF2B5EF4-FFF2-40B4-BE49-F238E27FC236}">
              <a16:creationId xmlns:a16="http://schemas.microsoft.com/office/drawing/2014/main" id="{00000000-0008-0000-0E00-0000A3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931</xdr:row>
      <xdr:rowOff>0</xdr:rowOff>
    </xdr:from>
    <xdr:ext cx="381000" cy="381000"/>
    <xdr:pic>
      <xdr:nvPicPr>
        <xdr:cNvPr id="932" name="image107.jpg">
          <a:extLst>
            <a:ext uri="{FF2B5EF4-FFF2-40B4-BE49-F238E27FC236}">
              <a16:creationId xmlns:a16="http://schemas.microsoft.com/office/drawing/2014/main" id="{00000000-0008-0000-0E00-0000A4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932</xdr:row>
      <xdr:rowOff>0</xdr:rowOff>
    </xdr:from>
    <xdr:ext cx="381000" cy="381000"/>
    <xdr:pic>
      <xdr:nvPicPr>
        <xdr:cNvPr id="933" name="image107.jpg">
          <a:extLst>
            <a:ext uri="{FF2B5EF4-FFF2-40B4-BE49-F238E27FC236}">
              <a16:creationId xmlns:a16="http://schemas.microsoft.com/office/drawing/2014/main" id="{00000000-0008-0000-0E00-0000A5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933</xdr:row>
      <xdr:rowOff>0</xdr:rowOff>
    </xdr:from>
    <xdr:ext cx="381000" cy="381000"/>
    <xdr:pic>
      <xdr:nvPicPr>
        <xdr:cNvPr id="934" name="image107.jpg">
          <a:extLst>
            <a:ext uri="{FF2B5EF4-FFF2-40B4-BE49-F238E27FC236}">
              <a16:creationId xmlns:a16="http://schemas.microsoft.com/office/drawing/2014/main" id="{00000000-0008-0000-0E00-0000A6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934</xdr:row>
      <xdr:rowOff>0</xdr:rowOff>
    </xdr:from>
    <xdr:ext cx="381000" cy="381000"/>
    <xdr:pic>
      <xdr:nvPicPr>
        <xdr:cNvPr id="935" name="image107.jpg">
          <a:extLst>
            <a:ext uri="{FF2B5EF4-FFF2-40B4-BE49-F238E27FC236}">
              <a16:creationId xmlns:a16="http://schemas.microsoft.com/office/drawing/2014/main" id="{00000000-0008-0000-0E00-0000A7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935</xdr:row>
      <xdr:rowOff>0</xdr:rowOff>
    </xdr:from>
    <xdr:ext cx="381000" cy="381000"/>
    <xdr:pic>
      <xdr:nvPicPr>
        <xdr:cNvPr id="936" name="image107.jpg">
          <a:extLst>
            <a:ext uri="{FF2B5EF4-FFF2-40B4-BE49-F238E27FC236}">
              <a16:creationId xmlns:a16="http://schemas.microsoft.com/office/drawing/2014/main" id="{00000000-0008-0000-0E00-0000A8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936</xdr:row>
      <xdr:rowOff>0</xdr:rowOff>
    </xdr:from>
    <xdr:ext cx="381000" cy="381000"/>
    <xdr:pic>
      <xdr:nvPicPr>
        <xdr:cNvPr id="937" name="image107.jpg">
          <a:extLst>
            <a:ext uri="{FF2B5EF4-FFF2-40B4-BE49-F238E27FC236}">
              <a16:creationId xmlns:a16="http://schemas.microsoft.com/office/drawing/2014/main" id="{00000000-0008-0000-0E00-0000A9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937</xdr:row>
      <xdr:rowOff>0</xdr:rowOff>
    </xdr:from>
    <xdr:ext cx="381000" cy="381000"/>
    <xdr:pic>
      <xdr:nvPicPr>
        <xdr:cNvPr id="938" name="image107.jpg">
          <a:extLst>
            <a:ext uri="{FF2B5EF4-FFF2-40B4-BE49-F238E27FC236}">
              <a16:creationId xmlns:a16="http://schemas.microsoft.com/office/drawing/2014/main" id="{00000000-0008-0000-0E00-0000AA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938</xdr:row>
      <xdr:rowOff>0</xdr:rowOff>
    </xdr:from>
    <xdr:ext cx="381000" cy="381000"/>
    <xdr:pic>
      <xdr:nvPicPr>
        <xdr:cNvPr id="939" name="image107.jpg">
          <a:extLst>
            <a:ext uri="{FF2B5EF4-FFF2-40B4-BE49-F238E27FC236}">
              <a16:creationId xmlns:a16="http://schemas.microsoft.com/office/drawing/2014/main" id="{00000000-0008-0000-0E00-0000AB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939</xdr:row>
      <xdr:rowOff>0</xdr:rowOff>
    </xdr:from>
    <xdr:ext cx="381000" cy="381000"/>
    <xdr:pic>
      <xdr:nvPicPr>
        <xdr:cNvPr id="940" name="image107.jpg">
          <a:extLst>
            <a:ext uri="{FF2B5EF4-FFF2-40B4-BE49-F238E27FC236}">
              <a16:creationId xmlns:a16="http://schemas.microsoft.com/office/drawing/2014/main" id="{00000000-0008-0000-0E00-0000AC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940</xdr:row>
      <xdr:rowOff>0</xdr:rowOff>
    </xdr:from>
    <xdr:ext cx="381000" cy="381000"/>
    <xdr:pic>
      <xdr:nvPicPr>
        <xdr:cNvPr id="941" name="image107.jpg">
          <a:extLst>
            <a:ext uri="{FF2B5EF4-FFF2-40B4-BE49-F238E27FC236}">
              <a16:creationId xmlns:a16="http://schemas.microsoft.com/office/drawing/2014/main" id="{00000000-0008-0000-0E00-0000AD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941</xdr:row>
      <xdr:rowOff>0</xdr:rowOff>
    </xdr:from>
    <xdr:ext cx="381000" cy="381000"/>
    <xdr:pic>
      <xdr:nvPicPr>
        <xdr:cNvPr id="942" name="image107.jpg">
          <a:extLst>
            <a:ext uri="{FF2B5EF4-FFF2-40B4-BE49-F238E27FC236}">
              <a16:creationId xmlns:a16="http://schemas.microsoft.com/office/drawing/2014/main" id="{00000000-0008-0000-0E00-0000AE03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942</xdr:row>
      <xdr:rowOff>0</xdr:rowOff>
    </xdr:from>
    <xdr:ext cx="381000" cy="381000"/>
    <xdr:pic>
      <xdr:nvPicPr>
        <xdr:cNvPr id="943" name="image26.jpg">
          <a:extLst>
            <a:ext uri="{FF2B5EF4-FFF2-40B4-BE49-F238E27FC236}">
              <a16:creationId xmlns:a16="http://schemas.microsoft.com/office/drawing/2014/main" id="{00000000-0008-0000-0E00-0000AF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943</xdr:row>
      <xdr:rowOff>0</xdr:rowOff>
    </xdr:from>
    <xdr:ext cx="381000" cy="381000"/>
    <xdr:pic>
      <xdr:nvPicPr>
        <xdr:cNvPr id="944" name="image26.jpg">
          <a:extLst>
            <a:ext uri="{FF2B5EF4-FFF2-40B4-BE49-F238E27FC236}">
              <a16:creationId xmlns:a16="http://schemas.microsoft.com/office/drawing/2014/main" id="{00000000-0008-0000-0E00-0000B0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944</xdr:row>
      <xdr:rowOff>0</xdr:rowOff>
    </xdr:from>
    <xdr:ext cx="381000" cy="381000"/>
    <xdr:pic>
      <xdr:nvPicPr>
        <xdr:cNvPr id="945" name="image26.jpg">
          <a:extLst>
            <a:ext uri="{FF2B5EF4-FFF2-40B4-BE49-F238E27FC236}">
              <a16:creationId xmlns:a16="http://schemas.microsoft.com/office/drawing/2014/main" id="{00000000-0008-0000-0E00-0000B1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945</xdr:row>
      <xdr:rowOff>0</xdr:rowOff>
    </xdr:from>
    <xdr:ext cx="381000" cy="381000"/>
    <xdr:pic>
      <xdr:nvPicPr>
        <xdr:cNvPr id="946" name="image26.jpg">
          <a:extLst>
            <a:ext uri="{FF2B5EF4-FFF2-40B4-BE49-F238E27FC236}">
              <a16:creationId xmlns:a16="http://schemas.microsoft.com/office/drawing/2014/main" id="{00000000-0008-0000-0E00-0000B2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946</xdr:row>
      <xdr:rowOff>0</xdr:rowOff>
    </xdr:from>
    <xdr:ext cx="381000" cy="381000"/>
    <xdr:pic>
      <xdr:nvPicPr>
        <xdr:cNvPr id="947" name="image26.jpg">
          <a:extLst>
            <a:ext uri="{FF2B5EF4-FFF2-40B4-BE49-F238E27FC236}">
              <a16:creationId xmlns:a16="http://schemas.microsoft.com/office/drawing/2014/main" id="{00000000-0008-0000-0E00-0000B3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947</xdr:row>
      <xdr:rowOff>0</xdr:rowOff>
    </xdr:from>
    <xdr:ext cx="381000" cy="381000"/>
    <xdr:pic>
      <xdr:nvPicPr>
        <xdr:cNvPr id="948" name="image26.jpg">
          <a:extLst>
            <a:ext uri="{FF2B5EF4-FFF2-40B4-BE49-F238E27FC236}">
              <a16:creationId xmlns:a16="http://schemas.microsoft.com/office/drawing/2014/main" id="{00000000-0008-0000-0E00-0000B4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948</xdr:row>
      <xdr:rowOff>0</xdr:rowOff>
    </xdr:from>
    <xdr:ext cx="381000" cy="381000"/>
    <xdr:pic>
      <xdr:nvPicPr>
        <xdr:cNvPr id="949" name="image26.jpg">
          <a:extLst>
            <a:ext uri="{FF2B5EF4-FFF2-40B4-BE49-F238E27FC236}">
              <a16:creationId xmlns:a16="http://schemas.microsoft.com/office/drawing/2014/main" id="{00000000-0008-0000-0E00-0000B5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949</xdr:row>
      <xdr:rowOff>0</xdr:rowOff>
    </xdr:from>
    <xdr:ext cx="381000" cy="381000"/>
    <xdr:pic>
      <xdr:nvPicPr>
        <xdr:cNvPr id="950" name="image26.jpg">
          <a:extLst>
            <a:ext uri="{FF2B5EF4-FFF2-40B4-BE49-F238E27FC236}">
              <a16:creationId xmlns:a16="http://schemas.microsoft.com/office/drawing/2014/main" id="{00000000-0008-0000-0E00-0000B6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950</xdr:row>
      <xdr:rowOff>0</xdr:rowOff>
    </xdr:from>
    <xdr:ext cx="381000" cy="381000"/>
    <xdr:pic>
      <xdr:nvPicPr>
        <xdr:cNvPr id="951" name="image26.jpg">
          <a:extLst>
            <a:ext uri="{FF2B5EF4-FFF2-40B4-BE49-F238E27FC236}">
              <a16:creationId xmlns:a16="http://schemas.microsoft.com/office/drawing/2014/main" id="{00000000-0008-0000-0E00-0000B7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951</xdr:row>
      <xdr:rowOff>0</xdr:rowOff>
    </xdr:from>
    <xdr:ext cx="381000" cy="381000"/>
    <xdr:pic>
      <xdr:nvPicPr>
        <xdr:cNvPr id="952" name="image26.jpg">
          <a:extLst>
            <a:ext uri="{FF2B5EF4-FFF2-40B4-BE49-F238E27FC236}">
              <a16:creationId xmlns:a16="http://schemas.microsoft.com/office/drawing/2014/main" id="{00000000-0008-0000-0E00-0000B8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952</xdr:row>
      <xdr:rowOff>0</xdr:rowOff>
    </xdr:from>
    <xdr:ext cx="381000" cy="381000"/>
    <xdr:pic>
      <xdr:nvPicPr>
        <xdr:cNvPr id="953" name="image26.jpg">
          <a:extLst>
            <a:ext uri="{FF2B5EF4-FFF2-40B4-BE49-F238E27FC236}">
              <a16:creationId xmlns:a16="http://schemas.microsoft.com/office/drawing/2014/main" id="{00000000-0008-0000-0E00-0000B9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953</xdr:row>
      <xdr:rowOff>0</xdr:rowOff>
    </xdr:from>
    <xdr:ext cx="381000" cy="381000"/>
    <xdr:pic>
      <xdr:nvPicPr>
        <xdr:cNvPr id="954" name="image26.jpg">
          <a:extLst>
            <a:ext uri="{FF2B5EF4-FFF2-40B4-BE49-F238E27FC236}">
              <a16:creationId xmlns:a16="http://schemas.microsoft.com/office/drawing/2014/main" id="{00000000-0008-0000-0E00-0000BA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954</xdr:row>
      <xdr:rowOff>0</xdr:rowOff>
    </xdr:from>
    <xdr:ext cx="381000" cy="381000"/>
    <xdr:pic>
      <xdr:nvPicPr>
        <xdr:cNvPr id="955" name="image26.jpg">
          <a:extLst>
            <a:ext uri="{FF2B5EF4-FFF2-40B4-BE49-F238E27FC236}">
              <a16:creationId xmlns:a16="http://schemas.microsoft.com/office/drawing/2014/main" id="{00000000-0008-0000-0E00-0000BB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955</xdr:row>
      <xdr:rowOff>0</xdr:rowOff>
    </xdr:from>
    <xdr:ext cx="381000" cy="381000"/>
    <xdr:pic>
      <xdr:nvPicPr>
        <xdr:cNvPr id="956" name="image26.jpg">
          <a:extLst>
            <a:ext uri="{FF2B5EF4-FFF2-40B4-BE49-F238E27FC236}">
              <a16:creationId xmlns:a16="http://schemas.microsoft.com/office/drawing/2014/main" id="{00000000-0008-0000-0E00-0000BC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956</xdr:row>
      <xdr:rowOff>0</xdr:rowOff>
    </xdr:from>
    <xdr:ext cx="381000" cy="381000"/>
    <xdr:pic>
      <xdr:nvPicPr>
        <xdr:cNvPr id="957" name="image26.jpg">
          <a:extLst>
            <a:ext uri="{FF2B5EF4-FFF2-40B4-BE49-F238E27FC236}">
              <a16:creationId xmlns:a16="http://schemas.microsoft.com/office/drawing/2014/main" id="{00000000-0008-0000-0E00-0000BD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957</xdr:row>
      <xdr:rowOff>0</xdr:rowOff>
    </xdr:from>
    <xdr:ext cx="381000" cy="381000"/>
    <xdr:pic>
      <xdr:nvPicPr>
        <xdr:cNvPr id="958" name="image26.jpg">
          <a:extLst>
            <a:ext uri="{FF2B5EF4-FFF2-40B4-BE49-F238E27FC236}">
              <a16:creationId xmlns:a16="http://schemas.microsoft.com/office/drawing/2014/main" id="{00000000-0008-0000-0E00-0000BE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958</xdr:row>
      <xdr:rowOff>0</xdr:rowOff>
    </xdr:from>
    <xdr:ext cx="381000" cy="381000"/>
    <xdr:pic>
      <xdr:nvPicPr>
        <xdr:cNvPr id="959" name="image26.jpg">
          <a:extLst>
            <a:ext uri="{FF2B5EF4-FFF2-40B4-BE49-F238E27FC236}">
              <a16:creationId xmlns:a16="http://schemas.microsoft.com/office/drawing/2014/main" id="{00000000-0008-0000-0E00-0000BF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959</xdr:row>
      <xdr:rowOff>0</xdr:rowOff>
    </xdr:from>
    <xdr:ext cx="381000" cy="381000"/>
    <xdr:pic>
      <xdr:nvPicPr>
        <xdr:cNvPr id="960" name="image26.jpg">
          <a:extLst>
            <a:ext uri="{FF2B5EF4-FFF2-40B4-BE49-F238E27FC236}">
              <a16:creationId xmlns:a16="http://schemas.microsoft.com/office/drawing/2014/main" id="{00000000-0008-0000-0E00-0000C0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960</xdr:row>
      <xdr:rowOff>0</xdr:rowOff>
    </xdr:from>
    <xdr:ext cx="381000" cy="381000"/>
    <xdr:pic>
      <xdr:nvPicPr>
        <xdr:cNvPr id="961" name="image26.jpg">
          <a:extLst>
            <a:ext uri="{FF2B5EF4-FFF2-40B4-BE49-F238E27FC236}">
              <a16:creationId xmlns:a16="http://schemas.microsoft.com/office/drawing/2014/main" id="{00000000-0008-0000-0E00-0000C1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961</xdr:row>
      <xdr:rowOff>0</xdr:rowOff>
    </xdr:from>
    <xdr:ext cx="381000" cy="381000"/>
    <xdr:pic>
      <xdr:nvPicPr>
        <xdr:cNvPr id="962" name="image26.jpg">
          <a:extLst>
            <a:ext uri="{FF2B5EF4-FFF2-40B4-BE49-F238E27FC236}">
              <a16:creationId xmlns:a16="http://schemas.microsoft.com/office/drawing/2014/main" id="{00000000-0008-0000-0E00-0000C2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962</xdr:row>
      <xdr:rowOff>0</xdr:rowOff>
    </xdr:from>
    <xdr:ext cx="381000" cy="381000"/>
    <xdr:pic>
      <xdr:nvPicPr>
        <xdr:cNvPr id="963" name="image26.jpg">
          <a:extLst>
            <a:ext uri="{FF2B5EF4-FFF2-40B4-BE49-F238E27FC236}">
              <a16:creationId xmlns:a16="http://schemas.microsoft.com/office/drawing/2014/main" id="{00000000-0008-0000-0E00-0000C303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963</xdr:row>
      <xdr:rowOff>0</xdr:rowOff>
    </xdr:from>
    <xdr:ext cx="381000" cy="381000"/>
    <xdr:pic>
      <xdr:nvPicPr>
        <xdr:cNvPr id="964" name="image49.jpg">
          <a:extLst>
            <a:ext uri="{FF2B5EF4-FFF2-40B4-BE49-F238E27FC236}">
              <a16:creationId xmlns:a16="http://schemas.microsoft.com/office/drawing/2014/main" id="{00000000-0008-0000-0E00-0000C4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964</xdr:row>
      <xdr:rowOff>0</xdr:rowOff>
    </xdr:from>
    <xdr:ext cx="381000" cy="381000"/>
    <xdr:pic>
      <xdr:nvPicPr>
        <xdr:cNvPr id="965" name="image49.jpg">
          <a:extLst>
            <a:ext uri="{FF2B5EF4-FFF2-40B4-BE49-F238E27FC236}">
              <a16:creationId xmlns:a16="http://schemas.microsoft.com/office/drawing/2014/main" id="{00000000-0008-0000-0E00-0000C5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965</xdr:row>
      <xdr:rowOff>0</xdr:rowOff>
    </xdr:from>
    <xdr:ext cx="381000" cy="381000"/>
    <xdr:pic>
      <xdr:nvPicPr>
        <xdr:cNvPr id="966" name="image49.jpg">
          <a:extLst>
            <a:ext uri="{FF2B5EF4-FFF2-40B4-BE49-F238E27FC236}">
              <a16:creationId xmlns:a16="http://schemas.microsoft.com/office/drawing/2014/main" id="{00000000-0008-0000-0E00-0000C6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966</xdr:row>
      <xdr:rowOff>0</xdr:rowOff>
    </xdr:from>
    <xdr:ext cx="381000" cy="381000"/>
    <xdr:pic>
      <xdr:nvPicPr>
        <xdr:cNvPr id="967" name="image49.jpg">
          <a:extLst>
            <a:ext uri="{FF2B5EF4-FFF2-40B4-BE49-F238E27FC236}">
              <a16:creationId xmlns:a16="http://schemas.microsoft.com/office/drawing/2014/main" id="{00000000-0008-0000-0E00-0000C7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967</xdr:row>
      <xdr:rowOff>0</xdr:rowOff>
    </xdr:from>
    <xdr:ext cx="381000" cy="381000"/>
    <xdr:pic>
      <xdr:nvPicPr>
        <xdr:cNvPr id="968" name="image49.jpg">
          <a:extLst>
            <a:ext uri="{FF2B5EF4-FFF2-40B4-BE49-F238E27FC236}">
              <a16:creationId xmlns:a16="http://schemas.microsoft.com/office/drawing/2014/main" id="{00000000-0008-0000-0E00-0000C8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968</xdr:row>
      <xdr:rowOff>0</xdr:rowOff>
    </xdr:from>
    <xdr:ext cx="381000" cy="381000"/>
    <xdr:pic>
      <xdr:nvPicPr>
        <xdr:cNvPr id="969" name="image49.jpg">
          <a:extLst>
            <a:ext uri="{FF2B5EF4-FFF2-40B4-BE49-F238E27FC236}">
              <a16:creationId xmlns:a16="http://schemas.microsoft.com/office/drawing/2014/main" id="{00000000-0008-0000-0E00-0000C9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969</xdr:row>
      <xdr:rowOff>0</xdr:rowOff>
    </xdr:from>
    <xdr:ext cx="381000" cy="381000"/>
    <xdr:pic>
      <xdr:nvPicPr>
        <xdr:cNvPr id="970" name="image49.jpg">
          <a:extLst>
            <a:ext uri="{FF2B5EF4-FFF2-40B4-BE49-F238E27FC236}">
              <a16:creationId xmlns:a16="http://schemas.microsoft.com/office/drawing/2014/main" id="{00000000-0008-0000-0E00-0000CA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970</xdr:row>
      <xdr:rowOff>0</xdr:rowOff>
    </xdr:from>
    <xdr:ext cx="381000" cy="381000"/>
    <xdr:pic>
      <xdr:nvPicPr>
        <xdr:cNvPr id="971" name="image49.jpg">
          <a:extLst>
            <a:ext uri="{FF2B5EF4-FFF2-40B4-BE49-F238E27FC236}">
              <a16:creationId xmlns:a16="http://schemas.microsoft.com/office/drawing/2014/main" id="{00000000-0008-0000-0E00-0000CB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971</xdr:row>
      <xdr:rowOff>0</xdr:rowOff>
    </xdr:from>
    <xdr:ext cx="381000" cy="381000"/>
    <xdr:pic>
      <xdr:nvPicPr>
        <xdr:cNvPr id="972" name="image49.jpg">
          <a:extLst>
            <a:ext uri="{FF2B5EF4-FFF2-40B4-BE49-F238E27FC236}">
              <a16:creationId xmlns:a16="http://schemas.microsoft.com/office/drawing/2014/main" id="{00000000-0008-0000-0E00-0000CC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972</xdr:row>
      <xdr:rowOff>0</xdr:rowOff>
    </xdr:from>
    <xdr:ext cx="381000" cy="381000"/>
    <xdr:pic>
      <xdr:nvPicPr>
        <xdr:cNvPr id="973" name="image49.jpg">
          <a:extLst>
            <a:ext uri="{FF2B5EF4-FFF2-40B4-BE49-F238E27FC236}">
              <a16:creationId xmlns:a16="http://schemas.microsoft.com/office/drawing/2014/main" id="{00000000-0008-0000-0E00-0000CD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973</xdr:row>
      <xdr:rowOff>0</xdr:rowOff>
    </xdr:from>
    <xdr:ext cx="381000" cy="381000"/>
    <xdr:pic>
      <xdr:nvPicPr>
        <xdr:cNvPr id="974" name="image49.jpg">
          <a:extLst>
            <a:ext uri="{FF2B5EF4-FFF2-40B4-BE49-F238E27FC236}">
              <a16:creationId xmlns:a16="http://schemas.microsoft.com/office/drawing/2014/main" id="{00000000-0008-0000-0E00-0000CE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974</xdr:row>
      <xdr:rowOff>0</xdr:rowOff>
    </xdr:from>
    <xdr:ext cx="381000" cy="381000"/>
    <xdr:pic>
      <xdr:nvPicPr>
        <xdr:cNvPr id="975" name="image49.jpg">
          <a:extLst>
            <a:ext uri="{FF2B5EF4-FFF2-40B4-BE49-F238E27FC236}">
              <a16:creationId xmlns:a16="http://schemas.microsoft.com/office/drawing/2014/main" id="{00000000-0008-0000-0E00-0000CF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975</xdr:row>
      <xdr:rowOff>0</xdr:rowOff>
    </xdr:from>
    <xdr:ext cx="381000" cy="381000"/>
    <xdr:pic>
      <xdr:nvPicPr>
        <xdr:cNvPr id="976" name="image49.jpg">
          <a:extLst>
            <a:ext uri="{FF2B5EF4-FFF2-40B4-BE49-F238E27FC236}">
              <a16:creationId xmlns:a16="http://schemas.microsoft.com/office/drawing/2014/main" id="{00000000-0008-0000-0E00-0000D0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976</xdr:row>
      <xdr:rowOff>0</xdr:rowOff>
    </xdr:from>
    <xdr:ext cx="381000" cy="381000"/>
    <xdr:pic>
      <xdr:nvPicPr>
        <xdr:cNvPr id="977" name="image49.jpg">
          <a:extLst>
            <a:ext uri="{FF2B5EF4-FFF2-40B4-BE49-F238E27FC236}">
              <a16:creationId xmlns:a16="http://schemas.microsoft.com/office/drawing/2014/main" id="{00000000-0008-0000-0E00-0000D1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977</xdr:row>
      <xdr:rowOff>0</xdr:rowOff>
    </xdr:from>
    <xdr:ext cx="381000" cy="381000"/>
    <xdr:pic>
      <xdr:nvPicPr>
        <xdr:cNvPr id="978" name="image49.jpg">
          <a:extLst>
            <a:ext uri="{FF2B5EF4-FFF2-40B4-BE49-F238E27FC236}">
              <a16:creationId xmlns:a16="http://schemas.microsoft.com/office/drawing/2014/main" id="{00000000-0008-0000-0E00-0000D2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978</xdr:row>
      <xdr:rowOff>0</xdr:rowOff>
    </xdr:from>
    <xdr:ext cx="381000" cy="381000"/>
    <xdr:pic>
      <xdr:nvPicPr>
        <xdr:cNvPr id="979" name="image49.jpg">
          <a:extLst>
            <a:ext uri="{FF2B5EF4-FFF2-40B4-BE49-F238E27FC236}">
              <a16:creationId xmlns:a16="http://schemas.microsoft.com/office/drawing/2014/main" id="{00000000-0008-0000-0E00-0000D3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979</xdr:row>
      <xdr:rowOff>0</xdr:rowOff>
    </xdr:from>
    <xdr:ext cx="381000" cy="381000"/>
    <xdr:pic>
      <xdr:nvPicPr>
        <xdr:cNvPr id="980" name="image49.jpg">
          <a:extLst>
            <a:ext uri="{FF2B5EF4-FFF2-40B4-BE49-F238E27FC236}">
              <a16:creationId xmlns:a16="http://schemas.microsoft.com/office/drawing/2014/main" id="{00000000-0008-0000-0E00-0000D4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980</xdr:row>
      <xdr:rowOff>0</xdr:rowOff>
    </xdr:from>
    <xdr:ext cx="381000" cy="381000"/>
    <xdr:pic>
      <xdr:nvPicPr>
        <xdr:cNvPr id="981" name="image49.jpg">
          <a:extLst>
            <a:ext uri="{FF2B5EF4-FFF2-40B4-BE49-F238E27FC236}">
              <a16:creationId xmlns:a16="http://schemas.microsoft.com/office/drawing/2014/main" id="{00000000-0008-0000-0E00-0000D5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981</xdr:row>
      <xdr:rowOff>0</xdr:rowOff>
    </xdr:from>
    <xdr:ext cx="381000" cy="381000"/>
    <xdr:pic>
      <xdr:nvPicPr>
        <xdr:cNvPr id="982" name="image49.jpg">
          <a:extLst>
            <a:ext uri="{FF2B5EF4-FFF2-40B4-BE49-F238E27FC236}">
              <a16:creationId xmlns:a16="http://schemas.microsoft.com/office/drawing/2014/main" id="{00000000-0008-0000-0E00-0000D6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982</xdr:row>
      <xdr:rowOff>0</xdr:rowOff>
    </xdr:from>
    <xdr:ext cx="381000" cy="381000"/>
    <xdr:pic>
      <xdr:nvPicPr>
        <xdr:cNvPr id="983" name="image49.jpg">
          <a:extLst>
            <a:ext uri="{FF2B5EF4-FFF2-40B4-BE49-F238E27FC236}">
              <a16:creationId xmlns:a16="http://schemas.microsoft.com/office/drawing/2014/main" id="{00000000-0008-0000-0E00-0000D7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983</xdr:row>
      <xdr:rowOff>0</xdr:rowOff>
    </xdr:from>
    <xdr:ext cx="381000" cy="381000"/>
    <xdr:pic>
      <xdr:nvPicPr>
        <xdr:cNvPr id="984" name="image49.jpg">
          <a:extLst>
            <a:ext uri="{FF2B5EF4-FFF2-40B4-BE49-F238E27FC236}">
              <a16:creationId xmlns:a16="http://schemas.microsoft.com/office/drawing/2014/main" id="{00000000-0008-0000-0E00-0000D8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984</xdr:row>
      <xdr:rowOff>0</xdr:rowOff>
    </xdr:from>
    <xdr:ext cx="381000" cy="381000"/>
    <xdr:pic>
      <xdr:nvPicPr>
        <xdr:cNvPr id="985" name="image49.jpg">
          <a:extLst>
            <a:ext uri="{FF2B5EF4-FFF2-40B4-BE49-F238E27FC236}">
              <a16:creationId xmlns:a16="http://schemas.microsoft.com/office/drawing/2014/main" id="{00000000-0008-0000-0E00-0000D9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985</xdr:row>
      <xdr:rowOff>0</xdr:rowOff>
    </xdr:from>
    <xdr:ext cx="381000" cy="381000"/>
    <xdr:pic>
      <xdr:nvPicPr>
        <xdr:cNvPr id="986" name="image49.jpg">
          <a:extLst>
            <a:ext uri="{FF2B5EF4-FFF2-40B4-BE49-F238E27FC236}">
              <a16:creationId xmlns:a16="http://schemas.microsoft.com/office/drawing/2014/main" id="{00000000-0008-0000-0E00-0000DA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986</xdr:row>
      <xdr:rowOff>0</xdr:rowOff>
    </xdr:from>
    <xdr:ext cx="381000" cy="381000"/>
    <xdr:pic>
      <xdr:nvPicPr>
        <xdr:cNvPr id="987" name="image49.jpg">
          <a:extLst>
            <a:ext uri="{FF2B5EF4-FFF2-40B4-BE49-F238E27FC236}">
              <a16:creationId xmlns:a16="http://schemas.microsoft.com/office/drawing/2014/main" id="{00000000-0008-0000-0E00-0000DB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987</xdr:row>
      <xdr:rowOff>0</xdr:rowOff>
    </xdr:from>
    <xdr:ext cx="381000" cy="381000"/>
    <xdr:pic>
      <xdr:nvPicPr>
        <xdr:cNvPr id="988" name="image49.jpg">
          <a:extLst>
            <a:ext uri="{FF2B5EF4-FFF2-40B4-BE49-F238E27FC236}">
              <a16:creationId xmlns:a16="http://schemas.microsoft.com/office/drawing/2014/main" id="{00000000-0008-0000-0E00-0000DC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988</xdr:row>
      <xdr:rowOff>0</xdr:rowOff>
    </xdr:from>
    <xdr:ext cx="381000" cy="381000"/>
    <xdr:pic>
      <xdr:nvPicPr>
        <xdr:cNvPr id="989" name="image49.jpg">
          <a:extLst>
            <a:ext uri="{FF2B5EF4-FFF2-40B4-BE49-F238E27FC236}">
              <a16:creationId xmlns:a16="http://schemas.microsoft.com/office/drawing/2014/main" id="{00000000-0008-0000-0E00-0000DD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989</xdr:row>
      <xdr:rowOff>0</xdr:rowOff>
    </xdr:from>
    <xdr:ext cx="381000" cy="381000"/>
    <xdr:pic>
      <xdr:nvPicPr>
        <xdr:cNvPr id="990" name="image49.jpg">
          <a:extLst>
            <a:ext uri="{FF2B5EF4-FFF2-40B4-BE49-F238E27FC236}">
              <a16:creationId xmlns:a16="http://schemas.microsoft.com/office/drawing/2014/main" id="{00000000-0008-0000-0E00-0000DE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990</xdr:row>
      <xdr:rowOff>0</xdr:rowOff>
    </xdr:from>
    <xdr:ext cx="381000" cy="381000"/>
    <xdr:pic>
      <xdr:nvPicPr>
        <xdr:cNvPr id="991" name="image49.jpg">
          <a:extLst>
            <a:ext uri="{FF2B5EF4-FFF2-40B4-BE49-F238E27FC236}">
              <a16:creationId xmlns:a16="http://schemas.microsoft.com/office/drawing/2014/main" id="{00000000-0008-0000-0E00-0000DF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991</xdr:row>
      <xdr:rowOff>0</xdr:rowOff>
    </xdr:from>
    <xdr:ext cx="381000" cy="381000"/>
    <xdr:pic>
      <xdr:nvPicPr>
        <xdr:cNvPr id="992" name="image49.jpg">
          <a:extLst>
            <a:ext uri="{FF2B5EF4-FFF2-40B4-BE49-F238E27FC236}">
              <a16:creationId xmlns:a16="http://schemas.microsoft.com/office/drawing/2014/main" id="{00000000-0008-0000-0E00-0000E0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992</xdr:row>
      <xdr:rowOff>0</xdr:rowOff>
    </xdr:from>
    <xdr:ext cx="381000" cy="381000"/>
    <xdr:pic>
      <xdr:nvPicPr>
        <xdr:cNvPr id="993" name="image49.jpg">
          <a:extLst>
            <a:ext uri="{FF2B5EF4-FFF2-40B4-BE49-F238E27FC236}">
              <a16:creationId xmlns:a16="http://schemas.microsoft.com/office/drawing/2014/main" id="{00000000-0008-0000-0E00-0000E1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993</xdr:row>
      <xdr:rowOff>0</xdr:rowOff>
    </xdr:from>
    <xdr:ext cx="381000" cy="381000"/>
    <xdr:pic>
      <xdr:nvPicPr>
        <xdr:cNvPr id="994" name="image49.jpg">
          <a:extLst>
            <a:ext uri="{FF2B5EF4-FFF2-40B4-BE49-F238E27FC236}">
              <a16:creationId xmlns:a16="http://schemas.microsoft.com/office/drawing/2014/main" id="{00000000-0008-0000-0E00-0000E2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994</xdr:row>
      <xdr:rowOff>0</xdr:rowOff>
    </xdr:from>
    <xdr:ext cx="381000" cy="381000"/>
    <xdr:pic>
      <xdr:nvPicPr>
        <xdr:cNvPr id="995" name="image49.jpg">
          <a:extLst>
            <a:ext uri="{FF2B5EF4-FFF2-40B4-BE49-F238E27FC236}">
              <a16:creationId xmlns:a16="http://schemas.microsoft.com/office/drawing/2014/main" id="{00000000-0008-0000-0E00-0000E3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995</xdr:row>
      <xdr:rowOff>0</xdr:rowOff>
    </xdr:from>
    <xdr:ext cx="381000" cy="381000"/>
    <xdr:pic>
      <xdr:nvPicPr>
        <xdr:cNvPr id="996" name="image49.jpg">
          <a:extLst>
            <a:ext uri="{FF2B5EF4-FFF2-40B4-BE49-F238E27FC236}">
              <a16:creationId xmlns:a16="http://schemas.microsoft.com/office/drawing/2014/main" id="{00000000-0008-0000-0E00-0000E4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996</xdr:row>
      <xdr:rowOff>0</xdr:rowOff>
    </xdr:from>
    <xdr:ext cx="381000" cy="381000"/>
    <xdr:pic>
      <xdr:nvPicPr>
        <xdr:cNvPr id="997" name="image49.jpg">
          <a:extLst>
            <a:ext uri="{FF2B5EF4-FFF2-40B4-BE49-F238E27FC236}">
              <a16:creationId xmlns:a16="http://schemas.microsoft.com/office/drawing/2014/main" id="{00000000-0008-0000-0E00-0000E5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997</xdr:row>
      <xdr:rowOff>0</xdr:rowOff>
    </xdr:from>
    <xdr:ext cx="381000" cy="381000"/>
    <xdr:pic>
      <xdr:nvPicPr>
        <xdr:cNvPr id="998" name="image49.jpg">
          <a:extLst>
            <a:ext uri="{FF2B5EF4-FFF2-40B4-BE49-F238E27FC236}">
              <a16:creationId xmlns:a16="http://schemas.microsoft.com/office/drawing/2014/main" id="{00000000-0008-0000-0E00-0000E6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998</xdr:row>
      <xdr:rowOff>0</xdr:rowOff>
    </xdr:from>
    <xdr:ext cx="381000" cy="381000"/>
    <xdr:pic>
      <xdr:nvPicPr>
        <xdr:cNvPr id="999" name="image49.jpg">
          <a:extLst>
            <a:ext uri="{FF2B5EF4-FFF2-40B4-BE49-F238E27FC236}">
              <a16:creationId xmlns:a16="http://schemas.microsoft.com/office/drawing/2014/main" id="{00000000-0008-0000-0E00-0000E7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999</xdr:row>
      <xdr:rowOff>0</xdr:rowOff>
    </xdr:from>
    <xdr:ext cx="381000" cy="381000"/>
    <xdr:pic>
      <xdr:nvPicPr>
        <xdr:cNvPr id="1000" name="image49.jpg">
          <a:extLst>
            <a:ext uri="{FF2B5EF4-FFF2-40B4-BE49-F238E27FC236}">
              <a16:creationId xmlns:a16="http://schemas.microsoft.com/office/drawing/2014/main" id="{00000000-0008-0000-0E00-0000E8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1000</xdr:row>
      <xdr:rowOff>0</xdr:rowOff>
    </xdr:from>
    <xdr:ext cx="381000" cy="381000"/>
    <xdr:pic>
      <xdr:nvPicPr>
        <xdr:cNvPr id="1001" name="image49.jpg">
          <a:extLst>
            <a:ext uri="{FF2B5EF4-FFF2-40B4-BE49-F238E27FC236}">
              <a16:creationId xmlns:a16="http://schemas.microsoft.com/office/drawing/2014/main" id="{00000000-0008-0000-0E00-0000E9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1001</xdr:row>
      <xdr:rowOff>0</xdr:rowOff>
    </xdr:from>
    <xdr:ext cx="381000" cy="381000"/>
    <xdr:pic>
      <xdr:nvPicPr>
        <xdr:cNvPr id="1002" name="image49.jpg">
          <a:extLst>
            <a:ext uri="{FF2B5EF4-FFF2-40B4-BE49-F238E27FC236}">
              <a16:creationId xmlns:a16="http://schemas.microsoft.com/office/drawing/2014/main" id="{00000000-0008-0000-0E00-0000EA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1002</xdr:row>
      <xdr:rowOff>0</xdr:rowOff>
    </xdr:from>
    <xdr:ext cx="381000" cy="381000"/>
    <xdr:pic>
      <xdr:nvPicPr>
        <xdr:cNvPr id="1003" name="image49.jpg">
          <a:extLst>
            <a:ext uri="{FF2B5EF4-FFF2-40B4-BE49-F238E27FC236}">
              <a16:creationId xmlns:a16="http://schemas.microsoft.com/office/drawing/2014/main" id="{00000000-0008-0000-0E00-0000EB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1003</xdr:row>
      <xdr:rowOff>0</xdr:rowOff>
    </xdr:from>
    <xdr:ext cx="381000" cy="381000"/>
    <xdr:pic>
      <xdr:nvPicPr>
        <xdr:cNvPr id="1004" name="image49.jpg">
          <a:extLst>
            <a:ext uri="{FF2B5EF4-FFF2-40B4-BE49-F238E27FC236}">
              <a16:creationId xmlns:a16="http://schemas.microsoft.com/office/drawing/2014/main" id="{00000000-0008-0000-0E00-0000EC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1004</xdr:row>
      <xdr:rowOff>0</xdr:rowOff>
    </xdr:from>
    <xdr:ext cx="381000" cy="381000"/>
    <xdr:pic>
      <xdr:nvPicPr>
        <xdr:cNvPr id="1005" name="image49.jpg">
          <a:extLst>
            <a:ext uri="{FF2B5EF4-FFF2-40B4-BE49-F238E27FC236}">
              <a16:creationId xmlns:a16="http://schemas.microsoft.com/office/drawing/2014/main" id="{00000000-0008-0000-0E00-0000ED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1005</xdr:row>
      <xdr:rowOff>0</xdr:rowOff>
    </xdr:from>
    <xdr:ext cx="381000" cy="381000"/>
    <xdr:pic>
      <xdr:nvPicPr>
        <xdr:cNvPr id="1006" name="image49.jpg">
          <a:extLst>
            <a:ext uri="{FF2B5EF4-FFF2-40B4-BE49-F238E27FC236}">
              <a16:creationId xmlns:a16="http://schemas.microsoft.com/office/drawing/2014/main" id="{00000000-0008-0000-0E00-0000EE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1006</xdr:row>
      <xdr:rowOff>0</xdr:rowOff>
    </xdr:from>
    <xdr:ext cx="381000" cy="381000"/>
    <xdr:pic>
      <xdr:nvPicPr>
        <xdr:cNvPr id="1007" name="image49.jpg">
          <a:extLst>
            <a:ext uri="{FF2B5EF4-FFF2-40B4-BE49-F238E27FC236}">
              <a16:creationId xmlns:a16="http://schemas.microsoft.com/office/drawing/2014/main" id="{00000000-0008-0000-0E00-0000EF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1007</xdr:row>
      <xdr:rowOff>0</xdr:rowOff>
    </xdr:from>
    <xdr:ext cx="381000" cy="381000"/>
    <xdr:pic>
      <xdr:nvPicPr>
        <xdr:cNvPr id="1008" name="image49.jpg">
          <a:extLst>
            <a:ext uri="{FF2B5EF4-FFF2-40B4-BE49-F238E27FC236}">
              <a16:creationId xmlns:a16="http://schemas.microsoft.com/office/drawing/2014/main" id="{00000000-0008-0000-0E00-0000F0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1008</xdr:row>
      <xdr:rowOff>0</xdr:rowOff>
    </xdr:from>
    <xdr:ext cx="381000" cy="381000"/>
    <xdr:pic>
      <xdr:nvPicPr>
        <xdr:cNvPr id="1009" name="image49.jpg">
          <a:extLst>
            <a:ext uri="{FF2B5EF4-FFF2-40B4-BE49-F238E27FC236}">
              <a16:creationId xmlns:a16="http://schemas.microsoft.com/office/drawing/2014/main" id="{00000000-0008-0000-0E00-0000F103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1009</xdr:row>
      <xdr:rowOff>0</xdr:rowOff>
    </xdr:from>
    <xdr:ext cx="381000" cy="381000"/>
    <xdr:pic>
      <xdr:nvPicPr>
        <xdr:cNvPr id="1010" name="image87.jpg">
          <a:extLst>
            <a:ext uri="{FF2B5EF4-FFF2-40B4-BE49-F238E27FC236}">
              <a16:creationId xmlns:a16="http://schemas.microsoft.com/office/drawing/2014/main" id="{00000000-0008-0000-0E00-0000F2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1010</xdr:row>
      <xdr:rowOff>0</xdr:rowOff>
    </xdr:from>
    <xdr:ext cx="381000" cy="381000"/>
    <xdr:pic>
      <xdr:nvPicPr>
        <xdr:cNvPr id="1011" name="image87.jpg">
          <a:extLst>
            <a:ext uri="{FF2B5EF4-FFF2-40B4-BE49-F238E27FC236}">
              <a16:creationId xmlns:a16="http://schemas.microsoft.com/office/drawing/2014/main" id="{00000000-0008-0000-0E00-0000F3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1011</xdr:row>
      <xdr:rowOff>0</xdr:rowOff>
    </xdr:from>
    <xdr:ext cx="381000" cy="381000"/>
    <xdr:pic>
      <xdr:nvPicPr>
        <xdr:cNvPr id="1012" name="image87.jpg">
          <a:extLst>
            <a:ext uri="{FF2B5EF4-FFF2-40B4-BE49-F238E27FC236}">
              <a16:creationId xmlns:a16="http://schemas.microsoft.com/office/drawing/2014/main" id="{00000000-0008-0000-0E00-0000F4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1012</xdr:row>
      <xdr:rowOff>0</xdr:rowOff>
    </xdr:from>
    <xdr:ext cx="381000" cy="381000"/>
    <xdr:pic>
      <xdr:nvPicPr>
        <xdr:cNvPr id="1013" name="image87.jpg">
          <a:extLst>
            <a:ext uri="{FF2B5EF4-FFF2-40B4-BE49-F238E27FC236}">
              <a16:creationId xmlns:a16="http://schemas.microsoft.com/office/drawing/2014/main" id="{00000000-0008-0000-0E00-0000F5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1013</xdr:row>
      <xdr:rowOff>0</xdr:rowOff>
    </xdr:from>
    <xdr:ext cx="381000" cy="381000"/>
    <xdr:pic>
      <xdr:nvPicPr>
        <xdr:cNvPr id="1014" name="image87.jpg">
          <a:extLst>
            <a:ext uri="{FF2B5EF4-FFF2-40B4-BE49-F238E27FC236}">
              <a16:creationId xmlns:a16="http://schemas.microsoft.com/office/drawing/2014/main" id="{00000000-0008-0000-0E00-0000F6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1014</xdr:row>
      <xdr:rowOff>0</xdr:rowOff>
    </xdr:from>
    <xdr:ext cx="381000" cy="381000"/>
    <xdr:pic>
      <xdr:nvPicPr>
        <xdr:cNvPr id="1015" name="image87.jpg">
          <a:extLst>
            <a:ext uri="{FF2B5EF4-FFF2-40B4-BE49-F238E27FC236}">
              <a16:creationId xmlns:a16="http://schemas.microsoft.com/office/drawing/2014/main" id="{00000000-0008-0000-0E00-0000F7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1015</xdr:row>
      <xdr:rowOff>0</xdr:rowOff>
    </xdr:from>
    <xdr:ext cx="381000" cy="381000"/>
    <xdr:pic>
      <xdr:nvPicPr>
        <xdr:cNvPr id="1016" name="image87.jpg">
          <a:extLst>
            <a:ext uri="{FF2B5EF4-FFF2-40B4-BE49-F238E27FC236}">
              <a16:creationId xmlns:a16="http://schemas.microsoft.com/office/drawing/2014/main" id="{00000000-0008-0000-0E00-0000F8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1016</xdr:row>
      <xdr:rowOff>0</xdr:rowOff>
    </xdr:from>
    <xdr:ext cx="381000" cy="381000"/>
    <xdr:pic>
      <xdr:nvPicPr>
        <xdr:cNvPr id="1017" name="image87.jpg">
          <a:extLst>
            <a:ext uri="{FF2B5EF4-FFF2-40B4-BE49-F238E27FC236}">
              <a16:creationId xmlns:a16="http://schemas.microsoft.com/office/drawing/2014/main" id="{00000000-0008-0000-0E00-0000F9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1017</xdr:row>
      <xdr:rowOff>0</xdr:rowOff>
    </xdr:from>
    <xdr:ext cx="381000" cy="381000"/>
    <xdr:pic>
      <xdr:nvPicPr>
        <xdr:cNvPr id="1018" name="image87.jpg">
          <a:extLst>
            <a:ext uri="{FF2B5EF4-FFF2-40B4-BE49-F238E27FC236}">
              <a16:creationId xmlns:a16="http://schemas.microsoft.com/office/drawing/2014/main" id="{00000000-0008-0000-0E00-0000FA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1018</xdr:row>
      <xdr:rowOff>0</xdr:rowOff>
    </xdr:from>
    <xdr:ext cx="381000" cy="381000"/>
    <xdr:pic>
      <xdr:nvPicPr>
        <xdr:cNvPr id="1019" name="image87.jpg">
          <a:extLst>
            <a:ext uri="{FF2B5EF4-FFF2-40B4-BE49-F238E27FC236}">
              <a16:creationId xmlns:a16="http://schemas.microsoft.com/office/drawing/2014/main" id="{00000000-0008-0000-0E00-0000FB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1019</xdr:row>
      <xdr:rowOff>0</xdr:rowOff>
    </xdr:from>
    <xdr:ext cx="381000" cy="381000"/>
    <xdr:pic>
      <xdr:nvPicPr>
        <xdr:cNvPr id="1020" name="image87.jpg">
          <a:extLst>
            <a:ext uri="{FF2B5EF4-FFF2-40B4-BE49-F238E27FC236}">
              <a16:creationId xmlns:a16="http://schemas.microsoft.com/office/drawing/2014/main" id="{00000000-0008-0000-0E00-0000FC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1020</xdr:row>
      <xdr:rowOff>0</xdr:rowOff>
    </xdr:from>
    <xdr:ext cx="381000" cy="381000"/>
    <xdr:pic>
      <xdr:nvPicPr>
        <xdr:cNvPr id="1021" name="image87.jpg">
          <a:extLst>
            <a:ext uri="{FF2B5EF4-FFF2-40B4-BE49-F238E27FC236}">
              <a16:creationId xmlns:a16="http://schemas.microsoft.com/office/drawing/2014/main" id="{00000000-0008-0000-0E00-0000FD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1021</xdr:row>
      <xdr:rowOff>0</xdr:rowOff>
    </xdr:from>
    <xdr:ext cx="381000" cy="381000"/>
    <xdr:pic>
      <xdr:nvPicPr>
        <xdr:cNvPr id="1022" name="image87.jpg">
          <a:extLst>
            <a:ext uri="{FF2B5EF4-FFF2-40B4-BE49-F238E27FC236}">
              <a16:creationId xmlns:a16="http://schemas.microsoft.com/office/drawing/2014/main" id="{00000000-0008-0000-0E00-0000FE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1022</xdr:row>
      <xdr:rowOff>0</xdr:rowOff>
    </xdr:from>
    <xdr:ext cx="381000" cy="381000"/>
    <xdr:pic>
      <xdr:nvPicPr>
        <xdr:cNvPr id="1023" name="image87.jpg">
          <a:extLst>
            <a:ext uri="{FF2B5EF4-FFF2-40B4-BE49-F238E27FC236}">
              <a16:creationId xmlns:a16="http://schemas.microsoft.com/office/drawing/2014/main" id="{00000000-0008-0000-0E00-0000FF03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1023</xdr:row>
      <xdr:rowOff>0</xdr:rowOff>
    </xdr:from>
    <xdr:ext cx="381000" cy="381000"/>
    <xdr:pic>
      <xdr:nvPicPr>
        <xdr:cNvPr id="1024" name="image87.jpg">
          <a:extLst>
            <a:ext uri="{FF2B5EF4-FFF2-40B4-BE49-F238E27FC236}">
              <a16:creationId xmlns:a16="http://schemas.microsoft.com/office/drawing/2014/main" id="{00000000-0008-0000-0E00-000000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1024</xdr:row>
      <xdr:rowOff>0</xdr:rowOff>
    </xdr:from>
    <xdr:ext cx="381000" cy="381000"/>
    <xdr:pic>
      <xdr:nvPicPr>
        <xdr:cNvPr id="1025" name="image87.jpg">
          <a:extLst>
            <a:ext uri="{FF2B5EF4-FFF2-40B4-BE49-F238E27FC236}">
              <a16:creationId xmlns:a16="http://schemas.microsoft.com/office/drawing/2014/main" id="{00000000-0008-0000-0E00-000001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1025</xdr:row>
      <xdr:rowOff>0</xdr:rowOff>
    </xdr:from>
    <xdr:ext cx="381000" cy="381000"/>
    <xdr:pic>
      <xdr:nvPicPr>
        <xdr:cNvPr id="1026" name="image87.jpg">
          <a:extLst>
            <a:ext uri="{FF2B5EF4-FFF2-40B4-BE49-F238E27FC236}">
              <a16:creationId xmlns:a16="http://schemas.microsoft.com/office/drawing/2014/main" id="{00000000-0008-0000-0E00-000002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1026</xdr:row>
      <xdr:rowOff>0</xdr:rowOff>
    </xdr:from>
    <xdr:ext cx="381000" cy="381000"/>
    <xdr:pic>
      <xdr:nvPicPr>
        <xdr:cNvPr id="1027" name="image87.jpg">
          <a:extLst>
            <a:ext uri="{FF2B5EF4-FFF2-40B4-BE49-F238E27FC236}">
              <a16:creationId xmlns:a16="http://schemas.microsoft.com/office/drawing/2014/main" id="{00000000-0008-0000-0E00-000003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1027</xdr:row>
      <xdr:rowOff>0</xdr:rowOff>
    </xdr:from>
    <xdr:ext cx="381000" cy="381000"/>
    <xdr:pic>
      <xdr:nvPicPr>
        <xdr:cNvPr id="1028" name="image87.jpg">
          <a:extLst>
            <a:ext uri="{FF2B5EF4-FFF2-40B4-BE49-F238E27FC236}">
              <a16:creationId xmlns:a16="http://schemas.microsoft.com/office/drawing/2014/main" id="{00000000-0008-0000-0E00-000004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1028</xdr:row>
      <xdr:rowOff>0</xdr:rowOff>
    </xdr:from>
    <xdr:ext cx="381000" cy="381000"/>
    <xdr:pic>
      <xdr:nvPicPr>
        <xdr:cNvPr id="1029" name="image87.jpg">
          <a:extLst>
            <a:ext uri="{FF2B5EF4-FFF2-40B4-BE49-F238E27FC236}">
              <a16:creationId xmlns:a16="http://schemas.microsoft.com/office/drawing/2014/main" id="{00000000-0008-0000-0E00-000005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1029</xdr:row>
      <xdr:rowOff>0</xdr:rowOff>
    </xdr:from>
    <xdr:ext cx="381000" cy="381000"/>
    <xdr:pic>
      <xdr:nvPicPr>
        <xdr:cNvPr id="1030" name="image87.jpg">
          <a:extLst>
            <a:ext uri="{FF2B5EF4-FFF2-40B4-BE49-F238E27FC236}">
              <a16:creationId xmlns:a16="http://schemas.microsoft.com/office/drawing/2014/main" id="{00000000-0008-0000-0E00-000006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1030</xdr:row>
      <xdr:rowOff>0</xdr:rowOff>
    </xdr:from>
    <xdr:ext cx="381000" cy="381000"/>
    <xdr:pic>
      <xdr:nvPicPr>
        <xdr:cNvPr id="1031" name="image87.jpg">
          <a:extLst>
            <a:ext uri="{FF2B5EF4-FFF2-40B4-BE49-F238E27FC236}">
              <a16:creationId xmlns:a16="http://schemas.microsoft.com/office/drawing/2014/main" id="{00000000-0008-0000-0E00-000007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1031</xdr:row>
      <xdr:rowOff>0</xdr:rowOff>
    </xdr:from>
    <xdr:ext cx="381000" cy="381000"/>
    <xdr:pic>
      <xdr:nvPicPr>
        <xdr:cNvPr id="1032" name="image87.jpg">
          <a:extLst>
            <a:ext uri="{FF2B5EF4-FFF2-40B4-BE49-F238E27FC236}">
              <a16:creationId xmlns:a16="http://schemas.microsoft.com/office/drawing/2014/main" id="{00000000-0008-0000-0E00-000008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1032</xdr:row>
      <xdr:rowOff>0</xdr:rowOff>
    </xdr:from>
    <xdr:ext cx="381000" cy="381000"/>
    <xdr:pic>
      <xdr:nvPicPr>
        <xdr:cNvPr id="1033" name="image87.jpg">
          <a:extLst>
            <a:ext uri="{FF2B5EF4-FFF2-40B4-BE49-F238E27FC236}">
              <a16:creationId xmlns:a16="http://schemas.microsoft.com/office/drawing/2014/main" id="{00000000-0008-0000-0E00-000009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1033</xdr:row>
      <xdr:rowOff>0</xdr:rowOff>
    </xdr:from>
    <xdr:ext cx="381000" cy="381000"/>
    <xdr:pic>
      <xdr:nvPicPr>
        <xdr:cNvPr id="1034" name="image87.jpg">
          <a:extLst>
            <a:ext uri="{FF2B5EF4-FFF2-40B4-BE49-F238E27FC236}">
              <a16:creationId xmlns:a16="http://schemas.microsoft.com/office/drawing/2014/main" id="{00000000-0008-0000-0E00-00000A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1034</xdr:row>
      <xdr:rowOff>0</xdr:rowOff>
    </xdr:from>
    <xdr:ext cx="381000" cy="381000"/>
    <xdr:pic>
      <xdr:nvPicPr>
        <xdr:cNvPr id="1035" name="image87.jpg">
          <a:extLst>
            <a:ext uri="{FF2B5EF4-FFF2-40B4-BE49-F238E27FC236}">
              <a16:creationId xmlns:a16="http://schemas.microsoft.com/office/drawing/2014/main" id="{00000000-0008-0000-0E00-00000B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1035</xdr:row>
      <xdr:rowOff>0</xdr:rowOff>
    </xdr:from>
    <xdr:ext cx="381000" cy="381000"/>
    <xdr:pic>
      <xdr:nvPicPr>
        <xdr:cNvPr id="1036" name="image87.jpg">
          <a:extLst>
            <a:ext uri="{FF2B5EF4-FFF2-40B4-BE49-F238E27FC236}">
              <a16:creationId xmlns:a16="http://schemas.microsoft.com/office/drawing/2014/main" id="{00000000-0008-0000-0E00-00000C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1036</xdr:row>
      <xdr:rowOff>0</xdr:rowOff>
    </xdr:from>
    <xdr:ext cx="381000" cy="381000"/>
    <xdr:pic>
      <xdr:nvPicPr>
        <xdr:cNvPr id="1037" name="image87.jpg">
          <a:extLst>
            <a:ext uri="{FF2B5EF4-FFF2-40B4-BE49-F238E27FC236}">
              <a16:creationId xmlns:a16="http://schemas.microsoft.com/office/drawing/2014/main" id="{00000000-0008-0000-0E00-00000D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1037</xdr:row>
      <xdr:rowOff>0</xdr:rowOff>
    </xdr:from>
    <xdr:ext cx="381000" cy="381000"/>
    <xdr:pic>
      <xdr:nvPicPr>
        <xdr:cNvPr id="1038" name="image87.jpg">
          <a:extLst>
            <a:ext uri="{FF2B5EF4-FFF2-40B4-BE49-F238E27FC236}">
              <a16:creationId xmlns:a16="http://schemas.microsoft.com/office/drawing/2014/main" id="{00000000-0008-0000-0E00-00000E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1038</xdr:row>
      <xdr:rowOff>0</xdr:rowOff>
    </xdr:from>
    <xdr:ext cx="381000" cy="381000"/>
    <xdr:pic>
      <xdr:nvPicPr>
        <xdr:cNvPr id="1039" name="image87.jpg">
          <a:extLst>
            <a:ext uri="{FF2B5EF4-FFF2-40B4-BE49-F238E27FC236}">
              <a16:creationId xmlns:a16="http://schemas.microsoft.com/office/drawing/2014/main" id="{00000000-0008-0000-0E00-00000F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1039</xdr:row>
      <xdr:rowOff>0</xdr:rowOff>
    </xdr:from>
    <xdr:ext cx="381000" cy="381000"/>
    <xdr:pic>
      <xdr:nvPicPr>
        <xdr:cNvPr id="1040" name="image87.jpg">
          <a:extLst>
            <a:ext uri="{FF2B5EF4-FFF2-40B4-BE49-F238E27FC236}">
              <a16:creationId xmlns:a16="http://schemas.microsoft.com/office/drawing/2014/main" id="{00000000-0008-0000-0E00-000010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1040</xdr:row>
      <xdr:rowOff>0</xdr:rowOff>
    </xdr:from>
    <xdr:ext cx="381000" cy="381000"/>
    <xdr:pic>
      <xdr:nvPicPr>
        <xdr:cNvPr id="1041" name="image87.jpg">
          <a:extLst>
            <a:ext uri="{FF2B5EF4-FFF2-40B4-BE49-F238E27FC236}">
              <a16:creationId xmlns:a16="http://schemas.microsoft.com/office/drawing/2014/main" id="{00000000-0008-0000-0E00-000011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1041</xdr:row>
      <xdr:rowOff>0</xdr:rowOff>
    </xdr:from>
    <xdr:ext cx="381000" cy="381000"/>
    <xdr:pic>
      <xdr:nvPicPr>
        <xdr:cNvPr id="1042" name="image87.jpg">
          <a:extLst>
            <a:ext uri="{FF2B5EF4-FFF2-40B4-BE49-F238E27FC236}">
              <a16:creationId xmlns:a16="http://schemas.microsoft.com/office/drawing/2014/main" id="{00000000-0008-0000-0E00-000012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1042</xdr:row>
      <xdr:rowOff>0</xdr:rowOff>
    </xdr:from>
    <xdr:ext cx="381000" cy="381000"/>
    <xdr:pic>
      <xdr:nvPicPr>
        <xdr:cNvPr id="1043" name="image87.jpg">
          <a:extLst>
            <a:ext uri="{FF2B5EF4-FFF2-40B4-BE49-F238E27FC236}">
              <a16:creationId xmlns:a16="http://schemas.microsoft.com/office/drawing/2014/main" id="{00000000-0008-0000-0E00-00001304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dr:oneCellAnchor>
    <xdr:from>
      <xdr:col>1</xdr:col>
      <xdr:colOff>0</xdr:colOff>
      <xdr:row>2</xdr:row>
      <xdr:rowOff>0</xdr:rowOff>
    </xdr:from>
    <xdr:ext cx="571500" cy="571500"/>
    <xdr:pic>
      <xdr:nvPicPr>
        <xdr:cNvPr id="2" name="image20.png">
          <a:extLst>
            <a:ext uri="{FF2B5EF4-FFF2-40B4-BE49-F238E27FC236}">
              <a16:creationId xmlns:a16="http://schemas.microsoft.com/office/drawing/2014/main" id="{00000000-0008-0000-1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xdr:row>
      <xdr:rowOff>0</xdr:rowOff>
    </xdr:from>
    <xdr:ext cx="571500" cy="571500"/>
    <xdr:pic>
      <xdr:nvPicPr>
        <xdr:cNvPr id="3" name="image20.png">
          <a:extLst>
            <a:ext uri="{FF2B5EF4-FFF2-40B4-BE49-F238E27FC236}">
              <a16:creationId xmlns:a16="http://schemas.microsoft.com/office/drawing/2014/main" id="{00000000-0008-0000-1000-00000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xdr:row>
      <xdr:rowOff>0</xdr:rowOff>
    </xdr:from>
    <xdr:ext cx="571500" cy="571500"/>
    <xdr:pic>
      <xdr:nvPicPr>
        <xdr:cNvPr id="4" name="image20.png">
          <a:extLst>
            <a:ext uri="{FF2B5EF4-FFF2-40B4-BE49-F238E27FC236}">
              <a16:creationId xmlns:a16="http://schemas.microsoft.com/office/drawing/2014/main" id="{00000000-0008-0000-1000-00000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5</xdr:row>
      <xdr:rowOff>0</xdr:rowOff>
    </xdr:from>
    <xdr:ext cx="571500" cy="571500"/>
    <xdr:pic>
      <xdr:nvPicPr>
        <xdr:cNvPr id="5" name="image20.png">
          <a:extLst>
            <a:ext uri="{FF2B5EF4-FFF2-40B4-BE49-F238E27FC236}">
              <a16:creationId xmlns:a16="http://schemas.microsoft.com/office/drawing/2014/main" id="{00000000-0008-0000-1000-00000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xdr:row>
      <xdr:rowOff>0</xdr:rowOff>
    </xdr:from>
    <xdr:ext cx="571500" cy="571500"/>
    <xdr:pic>
      <xdr:nvPicPr>
        <xdr:cNvPr id="6" name="image20.png">
          <a:extLst>
            <a:ext uri="{FF2B5EF4-FFF2-40B4-BE49-F238E27FC236}">
              <a16:creationId xmlns:a16="http://schemas.microsoft.com/office/drawing/2014/main" id="{00000000-0008-0000-1000-00000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xdr:row>
      <xdr:rowOff>0</xdr:rowOff>
    </xdr:from>
    <xdr:ext cx="571500" cy="571500"/>
    <xdr:pic>
      <xdr:nvPicPr>
        <xdr:cNvPr id="7" name="image20.png">
          <a:extLst>
            <a:ext uri="{FF2B5EF4-FFF2-40B4-BE49-F238E27FC236}">
              <a16:creationId xmlns:a16="http://schemas.microsoft.com/office/drawing/2014/main" id="{00000000-0008-0000-1000-00000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8</xdr:row>
      <xdr:rowOff>0</xdr:rowOff>
    </xdr:from>
    <xdr:ext cx="571500" cy="571500"/>
    <xdr:pic>
      <xdr:nvPicPr>
        <xdr:cNvPr id="8" name="image20.png">
          <a:extLst>
            <a:ext uri="{FF2B5EF4-FFF2-40B4-BE49-F238E27FC236}">
              <a16:creationId xmlns:a16="http://schemas.microsoft.com/office/drawing/2014/main" id="{00000000-0008-0000-1000-000008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9</xdr:row>
      <xdr:rowOff>0</xdr:rowOff>
    </xdr:from>
    <xdr:ext cx="571500" cy="571500"/>
    <xdr:pic>
      <xdr:nvPicPr>
        <xdr:cNvPr id="9" name="image20.png">
          <a:extLst>
            <a:ext uri="{FF2B5EF4-FFF2-40B4-BE49-F238E27FC236}">
              <a16:creationId xmlns:a16="http://schemas.microsoft.com/office/drawing/2014/main" id="{00000000-0008-0000-1000-000009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10</xdr:row>
      <xdr:rowOff>0</xdr:rowOff>
    </xdr:from>
    <xdr:ext cx="571500" cy="571500"/>
    <xdr:pic>
      <xdr:nvPicPr>
        <xdr:cNvPr id="10" name="image20.png">
          <a:extLst>
            <a:ext uri="{FF2B5EF4-FFF2-40B4-BE49-F238E27FC236}">
              <a16:creationId xmlns:a16="http://schemas.microsoft.com/office/drawing/2014/main" id="{00000000-0008-0000-1000-00000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11</xdr:row>
      <xdr:rowOff>0</xdr:rowOff>
    </xdr:from>
    <xdr:ext cx="571500" cy="571500"/>
    <xdr:pic>
      <xdr:nvPicPr>
        <xdr:cNvPr id="11" name="image20.png">
          <a:extLst>
            <a:ext uri="{FF2B5EF4-FFF2-40B4-BE49-F238E27FC236}">
              <a16:creationId xmlns:a16="http://schemas.microsoft.com/office/drawing/2014/main" id="{00000000-0008-0000-1000-00000B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12</xdr:row>
      <xdr:rowOff>0</xdr:rowOff>
    </xdr:from>
    <xdr:ext cx="571500" cy="571500"/>
    <xdr:pic>
      <xdr:nvPicPr>
        <xdr:cNvPr id="12" name="image20.png">
          <a:extLst>
            <a:ext uri="{FF2B5EF4-FFF2-40B4-BE49-F238E27FC236}">
              <a16:creationId xmlns:a16="http://schemas.microsoft.com/office/drawing/2014/main" id="{00000000-0008-0000-1000-00000C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13</xdr:row>
      <xdr:rowOff>0</xdr:rowOff>
    </xdr:from>
    <xdr:ext cx="571500" cy="571500"/>
    <xdr:pic>
      <xdr:nvPicPr>
        <xdr:cNvPr id="13" name="image20.png">
          <a:extLst>
            <a:ext uri="{FF2B5EF4-FFF2-40B4-BE49-F238E27FC236}">
              <a16:creationId xmlns:a16="http://schemas.microsoft.com/office/drawing/2014/main" id="{00000000-0008-0000-1000-00000D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14</xdr:row>
      <xdr:rowOff>0</xdr:rowOff>
    </xdr:from>
    <xdr:ext cx="571500" cy="571500"/>
    <xdr:pic>
      <xdr:nvPicPr>
        <xdr:cNvPr id="14" name="image8.jpg">
          <a:extLst>
            <a:ext uri="{FF2B5EF4-FFF2-40B4-BE49-F238E27FC236}">
              <a16:creationId xmlns:a16="http://schemas.microsoft.com/office/drawing/2014/main" id="{00000000-0008-0000-1000-00000E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15</xdr:row>
      <xdr:rowOff>0</xdr:rowOff>
    </xdr:from>
    <xdr:ext cx="571500" cy="571500"/>
    <xdr:pic>
      <xdr:nvPicPr>
        <xdr:cNvPr id="15" name="image20.png">
          <a:extLst>
            <a:ext uri="{FF2B5EF4-FFF2-40B4-BE49-F238E27FC236}">
              <a16:creationId xmlns:a16="http://schemas.microsoft.com/office/drawing/2014/main" id="{00000000-0008-0000-1000-00000F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16</xdr:row>
      <xdr:rowOff>0</xdr:rowOff>
    </xdr:from>
    <xdr:ext cx="571500" cy="571500"/>
    <xdr:pic>
      <xdr:nvPicPr>
        <xdr:cNvPr id="16" name="image20.png">
          <a:extLst>
            <a:ext uri="{FF2B5EF4-FFF2-40B4-BE49-F238E27FC236}">
              <a16:creationId xmlns:a16="http://schemas.microsoft.com/office/drawing/2014/main" id="{00000000-0008-0000-1000-000010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17</xdr:row>
      <xdr:rowOff>0</xdr:rowOff>
    </xdr:from>
    <xdr:ext cx="571500" cy="571500"/>
    <xdr:pic>
      <xdr:nvPicPr>
        <xdr:cNvPr id="17" name="image277.jpg">
          <a:extLst>
            <a:ext uri="{FF2B5EF4-FFF2-40B4-BE49-F238E27FC236}">
              <a16:creationId xmlns:a16="http://schemas.microsoft.com/office/drawing/2014/main" id="{00000000-0008-0000-1000-000011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18</xdr:row>
      <xdr:rowOff>0</xdr:rowOff>
    </xdr:from>
    <xdr:ext cx="571500" cy="571500"/>
    <xdr:pic>
      <xdr:nvPicPr>
        <xdr:cNvPr id="18" name="image277.jpg">
          <a:extLst>
            <a:ext uri="{FF2B5EF4-FFF2-40B4-BE49-F238E27FC236}">
              <a16:creationId xmlns:a16="http://schemas.microsoft.com/office/drawing/2014/main" id="{00000000-0008-0000-1000-000012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19</xdr:row>
      <xdr:rowOff>0</xdr:rowOff>
    </xdr:from>
    <xdr:ext cx="571500" cy="571500"/>
    <xdr:pic>
      <xdr:nvPicPr>
        <xdr:cNvPr id="19" name="image20.png">
          <a:extLst>
            <a:ext uri="{FF2B5EF4-FFF2-40B4-BE49-F238E27FC236}">
              <a16:creationId xmlns:a16="http://schemas.microsoft.com/office/drawing/2014/main" id="{00000000-0008-0000-1000-00001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20</xdr:row>
      <xdr:rowOff>0</xdr:rowOff>
    </xdr:from>
    <xdr:ext cx="571500" cy="571500"/>
    <xdr:pic>
      <xdr:nvPicPr>
        <xdr:cNvPr id="20" name="image20.png">
          <a:extLst>
            <a:ext uri="{FF2B5EF4-FFF2-40B4-BE49-F238E27FC236}">
              <a16:creationId xmlns:a16="http://schemas.microsoft.com/office/drawing/2014/main" id="{00000000-0008-0000-1000-00001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21</xdr:row>
      <xdr:rowOff>0</xdr:rowOff>
    </xdr:from>
    <xdr:ext cx="571500" cy="571500"/>
    <xdr:pic>
      <xdr:nvPicPr>
        <xdr:cNvPr id="21" name="image264.jpg">
          <a:extLst>
            <a:ext uri="{FF2B5EF4-FFF2-40B4-BE49-F238E27FC236}">
              <a16:creationId xmlns:a16="http://schemas.microsoft.com/office/drawing/2014/main" id="{00000000-0008-0000-1000-00001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22</xdr:row>
      <xdr:rowOff>0</xdr:rowOff>
    </xdr:from>
    <xdr:ext cx="571500" cy="571500"/>
    <xdr:pic>
      <xdr:nvPicPr>
        <xdr:cNvPr id="22" name="image20.png">
          <a:extLst>
            <a:ext uri="{FF2B5EF4-FFF2-40B4-BE49-F238E27FC236}">
              <a16:creationId xmlns:a16="http://schemas.microsoft.com/office/drawing/2014/main" id="{00000000-0008-0000-1000-00001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23</xdr:row>
      <xdr:rowOff>0</xdr:rowOff>
    </xdr:from>
    <xdr:ext cx="571500" cy="571500"/>
    <xdr:pic>
      <xdr:nvPicPr>
        <xdr:cNvPr id="23" name="image20.png">
          <a:extLst>
            <a:ext uri="{FF2B5EF4-FFF2-40B4-BE49-F238E27FC236}">
              <a16:creationId xmlns:a16="http://schemas.microsoft.com/office/drawing/2014/main" id="{00000000-0008-0000-1000-00001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24</xdr:row>
      <xdr:rowOff>0</xdr:rowOff>
    </xdr:from>
    <xdr:ext cx="571500" cy="571500"/>
    <xdr:pic>
      <xdr:nvPicPr>
        <xdr:cNvPr id="24" name="image274.jpg">
          <a:extLst>
            <a:ext uri="{FF2B5EF4-FFF2-40B4-BE49-F238E27FC236}">
              <a16:creationId xmlns:a16="http://schemas.microsoft.com/office/drawing/2014/main" id="{00000000-0008-0000-1000-00001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25</xdr:row>
      <xdr:rowOff>0</xdr:rowOff>
    </xdr:from>
    <xdr:ext cx="571500" cy="571500"/>
    <xdr:pic>
      <xdr:nvPicPr>
        <xdr:cNvPr id="25" name="image264.jpg">
          <a:extLst>
            <a:ext uri="{FF2B5EF4-FFF2-40B4-BE49-F238E27FC236}">
              <a16:creationId xmlns:a16="http://schemas.microsoft.com/office/drawing/2014/main" id="{00000000-0008-0000-1000-00001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26</xdr:row>
      <xdr:rowOff>0</xdr:rowOff>
    </xdr:from>
    <xdr:ext cx="571500" cy="571500"/>
    <xdr:pic>
      <xdr:nvPicPr>
        <xdr:cNvPr id="26" name="image20.png">
          <a:extLst>
            <a:ext uri="{FF2B5EF4-FFF2-40B4-BE49-F238E27FC236}">
              <a16:creationId xmlns:a16="http://schemas.microsoft.com/office/drawing/2014/main" id="{00000000-0008-0000-1000-00001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27</xdr:row>
      <xdr:rowOff>0</xdr:rowOff>
    </xdr:from>
    <xdr:ext cx="571500" cy="571500"/>
    <xdr:pic>
      <xdr:nvPicPr>
        <xdr:cNvPr id="27" name="image20.png">
          <a:extLst>
            <a:ext uri="{FF2B5EF4-FFF2-40B4-BE49-F238E27FC236}">
              <a16:creationId xmlns:a16="http://schemas.microsoft.com/office/drawing/2014/main" id="{00000000-0008-0000-1000-00001B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dr:oneCellAnchor>
    <xdr:from>
      <xdr:col>3</xdr:col>
      <xdr:colOff>0</xdr:colOff>
      <xdr:row>1</xdr:row>
      <xdr:rowOff>0</xdr:rowOff>
    </xdr:from>
    <xdr:ext cx="571500" cy="571500"/>
    <xdr:pic>
      <xdr:nvPicPr>
        <xdr:cNvPr id="2" name="image155.png">
          <a:extLst>
            <a:ext uri="{FF2B5EF4-FFF2-40B4-BE49-F238E27FC236}">
              <a16:creationId xmlns:a16="http://schemas.microsoft.com/office/drawing/2014/main" id="{00000000-0008-0000-1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2</xdr:row>
      <xdr:rowOff>0</xdr:rowOff>
    </xdr:from>
    <xdr:ext cx="571500" cy="571500"/>
    <xdr:pic>
      <xdr:nvPicPr>
        <xdr:cNvPr id="3" name="image149.png">
          <a:extLst>
            <a:ext uri="{FF2B5EF4-FFF2-40B4-BE49-F238E27FC236}">
              <a16:creationId xmlns:a16="http://schemas.microsoft.com/office/drawing/2014/main" id="{00000000-0008-0000-1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3</xdr:row>
      <xdr:rowOff>0</xdr:rowOff>
    </xdr:from>
    <xdr:ext cx="571500" cy="571500"/>
    <xdr:pic>
      <xdr:nvPicPr>
        <xdr:cNvPr id="4" name="image1.jpg">
          <a:extLst>
            <a:ext uri="{FF2B5EF4-FFF2-40B4-BE49-F238E27FC236}">
              <a16:creationId xmlns:a16="http://schemas.microsoft.com/office/drawing/2014/main" id="{00000000-0008-0000-1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4</xdr:row>
      <xdr:rowOff>0</xdr:rowOff>
    </xdr:from>
    <xdr:ext cx="571500" cy="571500"/>
    <xdr:pic>
      <xdr:nvPicPr>
        <xdr:cNvPr id="5" name="image8.jpg">
          <a:extLst>
            <a:ext uri="{FF2B5EF4-FFF2-40B4-BE49-F238E27FC236}">
              <a16:creationId xmlns:a16="http://schemas.microsoft.com/office/drawing/2014/main" id="{00000000-0008-0000-1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3</xdr:col>
      <xdr:colOff>0</xdr:colOff>
      <xdr:row>5</xdr:row>
      <xdr:rowOff>0</xdr:rowOff>
    </xdr:from>
    <xdr:ext cx="571500" cy="571500"/>
    <xdr:pic>
      <xdr:nvPicPr>
        <xdr:cNvPr id="6" name="image259.png">
          <a:extLst>
            <a:ext uri="{FF2B5EF4-FFF2-40B4-BE49-F238E27FC236}">
              <a16:creationId xmlns:a16="http://schemas.microsoft.com/office/drawing/2014/main" id="{00000000-0008-0000-1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3</xdr:col>
      <xdr:colOff>0</xdr:colOff>
      <xdr:row>6</xdr:row>
      <xdr:rowOff>0</xdr:rowOff>
    </xdr:from>
    <xdr:ext cx="571500" cy="571500"/>
    <xdr:pic>
      <xdr:nvPicPr>
        <xdr:cNvPr id="7" name="image68.jpg">
          <a:extLst>
            <a:ext uri="{FF2B5EF4-FFF2-40B4-BE49-F238E27FC236}">
              <a16:creationId xmlns:a16="http://schemas.microsoft.com/office/drawing/2014/main" id="{00000000-0008-0000-1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0</xdr:colOff>
      <xdr:row>7</xdr:row>
      <xdr:rowOff>0</xdr:rowOff>
    </xdr:from>
    <xdr:ext cx="571500" cy="571500"/>
    <xdr:pic>
      <xdr:nvPicPr>
        <xdr:cNvPr id="8" name="image269.jpg">
          <a:extLst>
            <a:ext uri="{FF2B5EF4-FFF2-40B4-BE49-F238E27FC236}">
              <a16:creationId xmlns:a16="http://schemas.microsoft.com/office/drawing/2014/main" id="{00000000-0008-0000-1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3</xdr:col>
      <xdr:colOff>0</xdr:colOff>
      <xdr:row>8</xdr:row>
      <xdr:rowOff>0</xdr:rowOff>
    </xdr:from>
    <xdr:ext cx="571500" cy="571500"/>
    <xdr:pic>
      <xdr:nvPicPr>
        <xdr:cNvPr id="9" name="image76.jpg">
          <a:extLst>
            <a:ext uri="{FF2B5EF4-FFF2-40B4-BE49-F238E27FC236}">
              <a16:creationId xmlns:a16="http://schemas.microsoft.com/office/drawing/2014/main" id="{00000000-0008-0000-1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3</xdr:col>
      <xdr:colOff>0</xdr:colOff>
      <xdr:row>9</xdr:row>
      <xdr:rowOff>0</xdr:rowOff>
    </xdr:from>
    <xdr:ext cx="571500" cy="571500"/>
    <xdr:pic>
      <xdr:nvPicPr>
        <xdr:cNvPr id="10" name="image273.jpg">
          <a:extLst>
            <a:ext uri="{FF2B5EF4-FFF2-40B4-BE49-F238E27FC236}">
              <a16:creationId xmlns:a16="http://schemas.microsoft.com/office/drawing/2014/main" id="{00000000-0008-0000-1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3</xdr:col>
      <xdr:colOff>0</xdr:colOff>
      <xdr:row>10</xdr:row>
      <xdr:rowOff>0</xdr:rowOff>
    </xdr:from>
    <xdr:ext cx="571500" cy="571500"/>
    <xdr:pic>
      <xdr:nvPicPr>
        <xdr:cNvPr id="11" name="image14.jpg">
          <a:extLst>
            <a:ext uri="{FF2B5EF4-FFF2-40B4-BE49-F238E27FC236}">
              <a16:creationId xmlns:a16="http://schemas.microsoft.com/office/drawing/2014/main" id="{00000000-0008-0000-1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0</xdr:colOff>
      <xdr:row>11</xdr:row>
      <xdr:rowOff>0</xdr:rowOff>
    </xdr:from>
    <xdr:ext cx="571500" cy="571500"/>
    <xdr:pic>
      <xdr:nvPicPr>
        <xdr:cNvPr id="12" name="image268.jpg">
          <a:extLst>
            <a:ext uri="{FF2B5EF4-FFF2-40B4-BE49-F238E27FC236}">
              <a16:creationId xmlns:a16="http://schemas.microsoft.com/office/drawing/2014/main" id="{00000000-0008-0000-11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3</xdr:col>
      <xdr:colOff>0</xdr:colOff>
      <xdr:row>12</xdr:row>
      <xdr:rowOff>0</xdr:rowOff>
    </xdr:from>
    <xdr:ext cx="571500" cy="571500"/>
    <xdr:pic>
      <xdr:nvPicPr>
        <xdr:cNvPr id="13" name="image265.jpg">
          <a:extLst>
            <a:ext uri="{FF2B5EF4-FFF2-40B4-BE49-F238E27FC236}">
              <a16:creationId xmlns:a16="http://schemas.microsoft.com/office/drawing/2014/main" id="{00000000-0008-0000-11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3</xdr:col>
      <xdr:colOff>0</xdr:colOff>
      <xdr:row>13</xdr:row>
      <xdr:rowOff>0</xdr:rowOff>
    </xdr:from>
    <xdr:ext cx="571500" cy="571500"/>
    <xdr:pic>
      <xdr:nvPicPr>
        <xdr:cNvPr id="14" name="image267.jpg">
          <a:extLst>
            <a:ext uri="{FF2B5EF4-FFF2-40B4-BE49-F238E27FC236}">
              <a16:creationId xmlns:a16="http://schemas.microsoft.com/office/drawing/2014/main" id="{00000000-0008-0000-11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3</xdr:col>
      <xdr:colOff>0</xdr:colOff>
      <xdr:row>14</xdr:row>
      <xdr:rowOff>0</xdr:rowOff>
    </xdr:from>
    <xdr:ext cx="571500" cy="571500"/>
    <xdr:pic>
      <xdr:nvPicPr>
        <xdr:cNvPr id="15" name="image85.jpg">
          <a:extLst>
            <a:ext uri="{FF2B5EF4-FFF2-40B4-BE49-F238E27FC236}">
              <a16:creationId xmlns:a16="http://schemas.microsoft.com/office/drawing/2014/main" id="{00000000-0008-0000-11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3</xdr:col>
      <xdr:colOff>0</xdr:colOff>
      <xdr:row>15</xdr:row>
      <xdr:rowOff>0</xdr:rowOff>
    </xdr:from>
    <xdr:ext cx="571500" cy="571500"/>
    <xdr:pic>
      <xdr:nvPicPr>
        <xdr:cNvPr id="16" name="image89.jpg">
          <a:extLst>
            <a:ext uri="{FF2B5EF4-FFF2-40B4-BE49-F238E27FC236}">
              <a16:creationId xmlns:a16="http://schemas.microsoft.com/office/drawing/2014/main" id="{00000000-0008-0000-11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dr:oneCellAnchor>
    <xdr:from>
      <xdr:col>14</xdr:col>
      <xdr:colOff>19050</xdr:colOff>
      <xdr:row>0</xdr:row>
      <xdr:rowOff>0</xdr:rowOff>
    </xdr:from>
    <xdr:ext cx="10953750" cy="7210425"/>
    <xdr:graphicFrame macro="">
      <xdr:nvGraphicFramePr>
        <xdr:cNvPr id="2" name="Chart 1" title="Chart">
          <a:extLst>
            <a:ext uri="{FF2B5EF4-FFF2-40B4-BE49-F238E27FC236}">
              <a16:creationId xmlns:a16="http://schemas.microsoft.com/office/drawing/2014/main" id="{00000000-0008-0000-1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2</xdr:col>
      <xdr:colOff>0</xdr:colOff>
      <xdr:row>1</xdr:row>
      <xdr:rowOff>0</xdr:rowOff>
    </xdr:from>
    <xdr:ext cx="381000" cy="381000"/>
    <xdr:pic>
      <xdr:nvPicPr>
        <xdr:cNvPr id="3" name="image154.png">
          <a:extLst>
            <a:ext uri="{FF2B5EF4-FFF2-40B4-BE49-F238E27FC236}">
              <a16:creationId xmlns:a16="http://schemas.microsoft.com/office/drawing/2014/main" id="{00000000-0008-0000-1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xdr:row>
      <xdr:rowOff>0</xdr:rowOff>
    </xdr:from>
    <xdr:ext cx="381000" cy="381000"/>
    <xdr:pic>
      <xdr:nvPicPr>
        <xdr:cNvPr id="4" name="image1.jpg">
          <a:extLst>
            <a:ext uri="{FF2B5EF4-FFF2-40B4-BE49-F238E27FC236}">
              <a16:creationId xmlns:a16="http://schemas.microsoft.com/office/drawing/2014/main" id="{00000000-0008-0000-1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xdr:row>
      <xdr:rowOff>0</xdr:rowOff>
    </xdr:from>
    <xdr:ext cx="381000" cy="381000"/>
    <xdr:pic>
      <xdr:nvPicPr>
        <xdr:cNvPr id="5" name="image8.jpg">
          <a:extLst>
            <a:ext uri="{FF2B5EF4-FFF2-40B4-BE49-F238E27FC236}">
              <a16:creationId xmlns:a16="http://schemas.microsoft.com/office/drawing/2014/main" id="{00000000-0008-0000-1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4</xdr:row>
      <xdr:rowOff>0</xdr:rowOff>
    </xdr:from>
    <xdr:ext cx="381000" cy="381000"/>
    <xdr:pic>
      <xdr:nvPicPr>
        <xdr:cNvPr id="6" name="image1.jpg">
          <a:extLst>
            <a:ext uri="{FF2B5EF4-FFF2-40B4-BE49-F238E27FC236}">
              <a16:creationId xmlns:a16="http://schemas.microsoft.com/office/drawing/2014/main" id="{00000000-0008-0000-1300-00000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5</xdr:row>
      <xdr:rowOff>0</xdr:rowOff>
    </xdr:from>
    <xdr:ext cx="381000" cy="381000"/>
    <xdr:pic>
      <xdr:nvPicPr>
        <xdr:cNvPr id="7" name="image8.jpg">
          <a:extLst>
            <a:ext uri="{FF2B5EF4-FFF2-40B4-BE49-F238E27FC236}">
              <a16:creationId xmlns:a16="http://schemas.microsoft.com/office/drawing/2014/main" id="{00000000-0008-0000-13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6</xdr:row>
      <xdr:rowOff>0</xdr:rowOff>
    </xdr:from>
    <xdr:ext cx="381000" cy="381000"/>
    <xdr:pic>
      <xdr:nvPicPr>
        <xdr:cNvPr id="8" name="image8.jpg">
          <a:extLst>
            <a:ext uri="{FF2B5EF4-FFF2-40B4-BE49-F238E27FC236}">
              <a16:creationId xmlns:a16="http://schemas.microsoft.com/office/drawing/2014/main" id="{00000000-0008-0000-1300-000008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7</xdr:row>
      <xdr:rowOff>0</xdr:rowOff>
    </xdr:from>
    <xdr:ext cx="381000" cy="381000"/>
    <xdr:pic>
      <xdr:nvPicPr>
        <xdr:cNvPr id="9" name="image8.jpg">
          <a:extLst>
            <a:ext uri="{FF2B5EF4-FFF2-40B4-BE49-F238E27FC236}">
              <a16:creationId xmlns:a16="http://schemas.microsoft.com/office/drawing/2014/main" id="{00000000-0008-0000-1300-00000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8</xdr:row>
      <xdr:rowOff>0</xdr:rowOff>
    </xdr:from>
    <xdr:ext cx="381000" cy="381000"/>
    <xdr:pic>
      <xdr:nvPicPr>
        <xdr:cNvPr id="10" name="image188.jpg">
          <a:extLst>
            <a:ext uri="{FF2B5EF4-FFF2-40B4-BE49-F238E27FC236}">
              <a16:creationId xmlns:a16="http://schemas.microsoft.com/office/drawing/2014/main" id="{00000000-0008-0000-1300-00000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xdr:row>
      <xdr:rowOff>0</xdr:rowOff>
    </xdr:from>
    <xdr:ext cx="381000" cy="381000"/>
    <xdr:pic>
      <xdr:nvPicPr>
        <xdr:cNvPr id="11" name="image8.jpg">
          <a:extLst>
            <a:ext uri="{FF2B5EF4-FFF2-40B4-BE49-F238E27FC236}">
              <a16:creationId xmlns:a16="http://schemas.microsoft.com/office/drawing/2014/main" id="{00000000-0008-0000-1300-00000B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10</xdr:row>
      <xdr:rowOff>0</xdr:rowOff>
    </xdr:from>
    <xdr:ext cx="381000" cy="381000"/>
    <xdr:pic>
      <xdr:nvPicPr>
        <xdr:cNvPr id="12" name="image261.jpg">
          <a:extLst>
            <a:ext uri="{FF2B5EF4-FFF2-40B4-BE49-F238E27FC236}">
              <a16:creationId xmlns:a16="http://schemas.microsoft.com/office/drawing/2014/main" id="{00000000-0008-0000-1300-00000C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xdr:row>
      <xdr:rowOff>0</xdr:rowOff>
    </xdr:from>
    <xdr:ext cx="381000" cy="381000"/>
    <xdr:pic>
      <xdr:nvPicPr>
        <xdr:cNvPr id="13" name="image8.jpg">
          <a:extLst>
            <a:ext uri="{FF2B5EF4-FFF2-40B4-BE49-F238E27FC236}">
              <a16:creationId xmlns:a16="http://schemas.microsoft.com/office/drawing/2014/main" id="{00000000-0008-0000-1300-00000D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12</xdr:row>
      <xdr:rowOff>0</xdr:rowOff>
    </xdr:from>
    <xdr:ext cx="381000" cy="381000"/>
    <xdr:pic>
      <xdr:nvPicPr>
        <xdr:cNvPr id="14" name="image261.jpg">
          <a:extLst>
            <a:ext uri="{FF2B5EF4-FFF2-40B4-BE49-F238E27FC236}">
              <a16:creationId xmlns:a16="http://schemas.microsoft.com/office/drawing/2014/main" id="{00000000-0008-0000-1300-00000E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13</xdr:row>
      <xdr:rowOff>0</xdr:rowOff>
    </xdr:from>
    <xdr:ext cx="381000" cy="381000"/>
    <xdr:pic>
      <xdr:nvPicPr>
        <xdr:cNvPr id="15" name="image8.jpg">
          <a:extLst>
            <a:ext uri="{FF2B5EF4-FFF2-40B4-BE49-F238E27FC236}">
              <a16:creationId xmlns:a16="http://schemas.microsoft.com/office/drawing/2014/main" id="{00000000-0008-0000-1300-00000F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14</xdr:row>
      <xdr:rowOff>0</xdr:rowOff>
    </xdr:from>
    <xdr:ext cx="381000" cy="381000"/>
    <xdr:pic>
      <xdr:nvPicPr>
        <xdr:cNvPr id="16" name="image1.jpg">
          <a:extLst>
            <a:ext uri="{FF2B5EF4-FFF2-40B4-BE49-F238E27FC236}">
              <a16:creationId xmlns:a16="http://schemas.microsoft.com/office/drawing/2014/main" id="{00000000-0008-0000-1300-00001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15</xdr:row>
      <xdr:rowOff>0</xdr:rowOff>
    </xdr:from>
    <xdr:ext cx="381000" cy="381000"/>
    <xdr:pic>
      <xdr:nvPicPr>
        <xdr:cNvPr id="17" name="image8.jpg">
          <a:extLst>
            <a:ext uri="{FF2B5EF4-FFF2-40B4-BE49-F238E27FC236}">
              <a16:creationId xmlns:a16="http://schemas.microsoft.com/office/drawing/2014/main" id="{00000000-0008-0000-1300-000011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16</xdr:row>
      <xdr:rowOff>0</xdr:rowOff>
    </xdr:from>
    <xdr:ext cx="381000" cy="381000"/>
    <xdr:pic>
      <xdr:nvPicPr>
        <xdr:cNvPr id="18" name="image8.jpg">
          <a:extLst>
            <a:ext uri="{FF2B5EF4-FFF2-40B4-BE49-F238E27FC236}">
              <a16:creationId xmlns:a16="http://schemas.microsoft.com/office/drawing/2014/main" id="{00000000-0008-0000-1300-000012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17</xdr:row>
      <xdr:rowOff>0</xdr:rowOff>
    </xdr:from>
    <xdr:ext cx="381000" cy="381000"/>
    <xdr:pic>
      <xdr:nvPicPr>
        <xdr:cNvPr id="19" name="image188.jpg">
          <a:extLst>
            <a:ext uri="{FF2B5EF4-FFF2-40B4-BE49-F238E27FC236}">
              <a16:creationId xmlns:a16="http://schemas.microsoft.com/office/drawing/2014/main" id="{00000000-0008-0000-1300-000013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18</xdr:row>
      <xdr:rowOff>0</xdr:rowOff>
    </xdr:from>
    <xdr:ext cx="381000" cy="381000"/>
    <xdr:pic>
      <xdr:nvPicPr>
        <xdr:cNvPr id="20" name="image8.jpg">
          <a:extLst>
            <a:ext uri="{FF2B5EF4-FFF2-40B4-BE49-F238E27FC236}">
              <a16:creationId xmlns:a16="http://schemas.microsoft.com/office/drawing/2014/main" id="{00000000-0008-0000-1300-000014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dr:oneCellAnchor>
    <xdr:from>
      <xdr:col>1</xdr:col>
      <xdr:colOff>0</xdr:colOff>
      <xdr:row>2</xdr:row>
      <xdr:rowOff>0</xdr:rowOff>
    </xdr:from>
    <xdr:ext cx="381000" cy="381000"/>
    <xdr:pic>
      <xdr:nvPicPr>
        <xdr:cNvPr id="2" name="image147.png">
          <a:extLst>
            <a:ext uri="{FF2B5EF4-FFF2-40B4-BE49-F238E27FC236}">
              <a16:creationId xmlns:a16="http://schemas.microsoft.com/office/drawing/2014/main" id="{00000000-0008-0000-1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xdr:row>
      <xdr:rowOff>0</xdr:rowOff>
    </xdr:from>
    <xdr:ext cx="381000" cy="381000"/>
    <xdr:pic>
      <xdr:nvPicPr>
        <xdr:cNvPr id="3" name="image65.png">
          <a:extLst>
            <a:ext uri="{FF2B5EF4-FFF2-40B4-BE49-F238E27FC236}">
              <a16:creationId xmlns:a16="http://schemas.microsoft.com/office/drawing/2014/main" id="{00000000-0008-0000-1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4</xdr:row>
      <xdr:rowOff>0</xdr:rowOff>
    </xdr:from>
    <xdr:ext cx="381000" cy="381000"/>
    <xdr:pic>
      <xdr:nvPicPr>
        <xdr:cNvPr id="4" name="image236.jpg">
          <a:extLst>
            <a:ext uri="{FF2B5EF4-FFF2-40B4-BE49-F238E27FC236}">
              <a16:creationId xmlns:a16="http://schemas.microsoft.com/office/drawing/2014/main" id="{00000000-0008-0000-14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5</xdr:row>
      <xdr:rowOff>0</xdr:rowOff>
    </xdr:from>
    <xdr:ext cx="381000" cy="381000"/>
    <xdr:pic>
      <xdr:nvPicPr>
        <xdr:cNvPr id="5" name="image262.jpg">
          <a:extLst>
            <a:ext uri="{FF2B5EF4-FFF2-40B4-BE49-F238E27FC236}">
              <a16:creationId xmlns:a16="http://schemas.microsoft.com/office/drawing/2014/main" id="{00000000-0008-0000-14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6</xdr:row>
      <xdr:rowOff>0</xdr:rowOff>
    </xdr:from>
    <xdr:ext cx="381000" cy="381000"/>
    <xdr:pic>
      <xdr:nvPicPr>
        <xdr:cNvPr id="6" name="image123.jpg">
          <a:extLst>
            <a:ext uri="{FF2B5EF4-FFF2-40B4-BE49-F238E27FC236}">
              <a16:creationId xmlns:a16="http://schemas.microsoft.com/office/drawing/2014/main" id="{00000000-0008-0000-14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xdr:row>
      <xdr:rowOff>0</xdr:rowOff>
    </xdr:from>
    <xdr:ext cx="381000" cy="381000"/>
    <xdr:pic>
      <xdr:nvPicPr>
        <xdr:cNvPr id="7" name="image101.jpg">
          <a:extLst>
            <a:ext uri="{FF2B5EF4-FFF2-40B4-BE49-F238E27FC236}">
              <a16:creationId xmlns:a16="http://schemas.microsoft.com/office/drawing/2014/main" id="{00000000-0008-0000-14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8</xdr:row>
      <xdr:rowOff>0</xdr:rowOff>
    </xdr:from>
    <xdr:ext cx="381000" cy="381000"/>
    <xdr:pic>
      <xdr:nvPicPr>
        <xdr:cNvPr id="8" name="image219.jpg">
          <a:extLst>
            <a:ext uri="{FF2B5EF4-FFF2-40B4-BE49-F238E27FC236}">
              <a16:creationId xmlns:a16="http://schemas.microsoft.com/office/drawing/2014/main" id="{00000000-0008-0000-14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9</xdr:row>
      <xdr:rowOff>0</xdr:rowOff>
    </xdr:from>
    <xdr:ext cx="381000" cy="381000"/>
    <xdr:pic>
      <xdr:nvPicPr>
        <xdr:cNvPr id="9" name="image76.jpg">
          <a:extLst>
            <a:ext uri="{FF2B5EF4-FFF2-40B4-BE49-F238E27FC236}">
              <a16:creationId xmlns:a16="http://schemas.microsoft.com/office/drawing/2014/main" id="{00000000-0008-0000-14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xdr:row>
      <xdr:rowOff>0</xdr:rowOff>
    </xdr:from>
    <xdr:ext cx="381000" cy="381000"/>
    <xdr:pic>
      <xdr:nvPicPr>
        <xdr:cNvPr id="10" name="image20.png">
          <a:extLst>
            <a:ext uri="{FF2B5EF4-FFF2-40B4-BE49-F238E27FC236}">
              <a16:creationId xmlns:a16="http://schemas.microsoft.com/office/drawing/2014/main" id="{00000000-0008-0000-14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11</xdr:row>
      <xdr:rowOff>0</xdr:rowOff>
    </xdr:from>
    <xdr:ext cx="381000" cy="381000"/>
    <xdr:pic>
      <xdr:nvPicPr>
        <xdr:cNvPr id="11" name="image20.png">
          <a:extLst>
            <a:ext uri="{FF2B5EF4-FFF2-40B4-BE49-F238E27FC236}">
              <a16:creationId xmlns:a16="http://schemas.microsoft.com/office/drawing/2014/main" id="{00000000-0008-0000-1400-00000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12</xdr:row>
      <xdr:rowOff>0</xdr:rowOff>
    </xdr:from>
    <xdr:ext cx="381000" cy="381000"/>
    <xdr:pic>
      <xdr:nvPicPr>
        <xdr:cNvPr id="12" name="image20.png">
          <a:extLst>
            <a:ext uri="{FF2B5EF4-FFF2-40B4-BE49-F238E27FC236}">
              <a16:creationId xmlns:a16="http://schemas.microsoft.com/office/drawing/2014/main" id="{00000000-0008-0000-1400-00000C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13</xdr:row>
      <xdr:rowOff>0</xdr:rowOff>
    </xdr:from>
    <xdr:ext cx="381000" cy="381000"/>
    <xdr:pic>
      <xdr:nvPicPr>
        <xdr:cNvPr id="13" name="image20.png">
          <a:extLst>
            <a:ext uri="{FF2B5EF4-FFF2-40B4-BE49-F238E27FC236}">
              <a16:creationId xmlns:a16="http://schemas.microsoft.com/office/drawing/2014/main" id="{00000000-0008-0000-1400-00000D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14</xdr:row>
      <xdr:rowOff>0</xdr:rowOff>
    </xdr:from>
    <xdr:ext cx="381000" cy="381000"/>
    <xdr:pic>
      <xdr:nvPicPr>
        <xdr:cNvPr id="14" name="image120.jpg">
          <a:extLst>
            <a:ext uri="{FF2B5EF4-FFF2-40B4-BE49-F238E27FC236}">
              <a16:creationId xmlns:a16="http://schemas.microsoft.com/office/drawing/2014/main" id="{00000000-0008-0000-1400-00000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15</xdr:row>
      <xdr:rowOff>0</xdr:rowOff>
    </xdr:from>
    <xdr:ext cx="381000" cy="381000"/>
    <xdr:pic>
      <xdr:nvPicPr>
        <xdr:cNvPr id="15" name="image153.png">
          <a:extLst>
            <a:ext uri="{FF2B5EF4-FFF2-40B4-BE49-F238E27FC236}">
              <a16:creationId xmlns:a16="http://schemas.microsoft.com/office/drawing/2014/main" id="{00000000-0008-0000-1400-00000F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16</xdr:row>
      <xdr:rowOff>0</xdr:rowOff>
    </xdr:from>
    <xdr:ext cx="381000" cy="381000"/>
    <xdr:pic>
      <xdr:nvPicPr>
        <xdr:cNvPr id="16" name="image218.jpg">
          <a:extLst>
            <a:ext uri="{FF2B5EF4-FFF2-40B4-BE49-F238E27FC236}">
              <a16:creationId xmlns:a16="http://schemas.microsoft.com/office/drawing/2014/main" id="{00000000-0008-0000-1400-000010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17</xdr:row>
      <xdr:rowOff>0</xdr:rowOff>
    </xdr:from>
    <xdr:ext cx="381000" cy="381000"/>
    <xdr:pic>
      <xdr:nvPicPr>
        <xdr:cNvPr id="17" name="image205.jpg">
          <a:extLst>
            <a:ext uri="{FF2B5EF4-FFF2-40B4-BE49-F238E27FC236}">
              <a16:creationId xmlns:a16="http://schemas.microsoft.com/office/drawing/2014/main" id="{00000000-0008-0000-1400-000011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18</xdr:row>
      <xdr:rowOff>0</xdr:rowOff>
    </xdr:from>
    <xdr:ext cx="381000" cy="381000"/>
    <xdr:pic>
      <xdr:nvPicPr>
        <xdr:cNvPr id="18" name="image113.jpg">
          <a:extLst>
            <a:ext uri="{FF2B5EF4-FFF2-40B4-BE49-F238E27FC236}">
              <a16:creationId xmlns:a16="http://schemas.microsoft.com/office/drawing/2014/main" id="{00000000-0008-0000-1400-000012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19</xdr:row>
      <xdr:rowOff>0</xdr:rowOff>
    </xdr:from>
    <xdr:ext cx="381000" cy="381000"/>
    <xdr:pic>
      <xdr:nvPicPr>
        <xdr:cNvPr id="19" name="image8.jpg">
          <a:extLst>
            <a:ext uri="{FF2B5EF4-FFF2-40B4-BE49-F238E27FC236}">
              <a16:creationId xmlns:a16="http://schemas.microsoft.com/office/drawing/2014/main" id="{00000000-0008-0000-1400-000013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20</xdr:row>
      <xdr:rowOff>0</xdr:rowOff>
    </xdr:from>
    <xdr:ext cx="381000" cy="381000"/>
    <xdr:pic>
      <xdr:nvPicPr>
        <xdr:cNvPr id="20" name="image97.jpg">
          <a:extLst>
            <a:ext uri="{FF2B5EF4-FFF2-40B4-BE49-F238E27FC236}">
              <a16:creationId xmlns:a16="http://schemas.microsoft.com/office/drawing/2014/main" id="{00000000-0008-0000-1400-000014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21</xdr:row>
      <xdr:rowOff>0</xdr:rowOff>
    </xdr:from>
    <xdr:ext cx="381000" cy="381000"/>
    <xdr:pic>
      <xdr:nvPicPr>
        <xdr:cNvPr id="21" name="image133.jpg">
          <a:extLst>
            <a:ext uri="{FF2B5EF4-FFF2-40B4-BE49-F238E27FC236}">
              <a16:creationId xmlns:a16="http://schemas.microsoft.com/office/drawing/2014/main" id="{00000000-0008-0000-1400-000015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22</xdr:row>
      <xdr:rowOff>0</xdr:rowOff>
    </xdr:from>
    <xdr:ext cx="381000" cy="381000"/>
    <xdr:pic>
      <xdr:nvPicPr>
        <xdr:cNvPr id="22" name="image78.jpg">
          <a:extLst>
            <a:ext uri="{FF2B5EF4-FFF2-40B4-BE49-F238E27FC236}">
              <a16:creationId xmlns:a16="http://schemas.microsoft.com/office/drawing/2014/main" id="{00000000-0008-0000-1400-000016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23</xdr:row>
      <xdr:rowOff>0</xdr:rowOff>
    </xdr:from>
    <xdr:ext cx="381000" cy="381000"/>
    <xdr:pic>
      <xdr:nvPicPr>
        <xdr:cNvPr id="23" name="image105.jpg">
          <a:extLst>
            <a:ext uri="{FF2B5EF4-FFF2-40B4-BE49-F238E27FC236}">
              <a16:creationId xmlns:a16="http://schemas.microsoft.com/office/drawing/2014/main" id="{00000000-0008-0000-1400-000017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24</xdr:row>
      <xdr:rowOff>0</xdr:rowOff>
    </xdr:from>
    <xdr:ext cx="381000" cy="381000"/>
    <xdr:pic>
      <xdr:nvPicPr>
        <xdr:cNvPr id="24" name="image67.jpg">
          <a:extLst>
            <a:ext uri="{FF2B5EF4-FFF2-40B4-BE49-F238E27FC236}">
              <a16:creationId xmlns:a16="http://schemas.microsoft.com/office/drawing/2014/main" id="{00000000-0008-0000-1400-000018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25</xdr:row>
      <xdr:rowOff>0</xdr:rowOff>
    </xdr:from>
    <xdr:ext cx="381000" cy="381000"/>
    <xdr:pic>
      <xdr:nvPicPr>
        <xdr:cNvPr id="25" name="image124.jpg">
          <a:extLst>
            <a:ext uri="{FF2B5EF4-FFF2-40B4-BE49-F238E27FC236}">
              <a16:creationId xmlns:a16="http://schemas.microsoft.com/office/drawing/2014/main" id="{00000000-0008-0000-1400-000019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26</xdr:row>
      <xdr:rowOff>0</xdr:rowOff>
    </xdr:from>
    <xdr:ext cx="381000" cy="381000"/>
    <xdr:pic>
      <xdr:nvPicPr>
        <xdr:cNvPr id="26" name="image124.jpg">
          <a:extLst>
            <a:ext uri="{FF2B5EF4-FFF2-40B4-BE49-F238E27FC236}">
              <a16:creationId xmlns:a16="http://schemas.microsoft.com/office/drawing/2014/main" id="{00000000-0008-0000-1400-00001A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27</xdr:row>
      <xdr:rowOff>0</xdr:rowOff>
    </xdr:from>
    <xdr:ext cx="381000" cy="381000"/>
    <xdr:pic>
      <xdr:nvPicPr>
        <xdr:cNvPr id="27" name="image110.jpg">
          <a:extLst>
            <a:ext uri="{FF2B5EF4-FFF2-40B4-BE49-F238E27FC236}">
              <a16:creationId xmlns:a16="http://schemas.microsoft.com/office/drawing/2014/main" id="{00000000-0008-0000-1400-00001B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28</xdr:row>
      <xdr:rowOff>0</xdr:rowOff>
    </xdr:from>
    <xdr:ext cx="381000" cy="381000"/>
    <xdr:pic>
      <xdr:nvPicPr>
        <xdr:cNvPr id="28" name="image119.png">
          <a:extLst>
            <a:ext uri="{FF2B5EF4-FFF2-40B4-BE49-F238E27FC236}">
              <a16:creationId xmlns:a16="http://schemas.microsoft.com/office/drawing/2014/main" id="{00000000-0008-0000-1400-00001C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xdr:col>
      <xdr:colOff>0</xdr:colOff>
      <xdr:row>29</xdr:row>
      <xdr:rowOff>0</xdr:rowOff>
    </xdr:from>
    <xdr:ext cx="371475" cy="381000"/>
    <xdr:pic>
      <xdr:nvPicPr>
        <xdr:cNvPr id="29" name="image150.png">
          <a:extLst>
            <a:ext uri="{FF2B5EF4-FFF2-40B4-BE49-F238E27FC236}">
              <a16:creationId xmlns:a16="http://schemas.microsoft.com/office/drawing/2014/main" id="{00000000-0008-0000-1400-00001D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30</xdr:row>
      <xdr:rowOff>0</xdr:rowOff>
    </xdr:from>
    <xdr:ext cx="381000" cy="381000"/>
    <xdr:pic>
      <xdr:nvPicPr>
        <xdr:cNvPr id="30" name="image27.jpg">
          <a:extLst>
            <a:ext uri="{FF2B5EF4-FFF2-40B4-BE49-F238E27FC236}">
              <a16:creationId xmlns:a16="http://schemas.microsoft.com/office/drawing/2014/main" id="{00000000-0008-0000-1400-00001E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31</xdr:row>
      <xdr:rowOff>0</xdr:rowOff>
    </xdr:from>
    <xdr:ext cx="381000" cy="381000"/>
    <xdr:pic>
      <xdr:nvPicPr>
        <xdr:cNvPr id="31" name="image154.png">
          <a:extLst>
            <a:ext uri="{FF2B5EF4-FFF2-40B4-BE49-F238E27FC236}">
              <a16:creationId xmlns:a16="http://schemas.microsoft.com/office/drawing/2014/main" id="{00000000-0008-0000-1400-00001F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32</xdr:row>
      <xdr:rowOff>0</xdr:rowOff>
    </xdr:from>
    <xdr:ext cx="381000" cy="381000"/>
    <xdr:pic>
      <xdr:nvPicPr>
        <xdr:cNvPr id="32" name="image154.png">
          <a:extLst>
            <a:ext uri="{FF2B5EF4-FFF2-40B4-BE49-F238E27FC236}">
              <a16:creationId xmlns:a16="http://schemas.microsoft.com/office/drawing/2014/main" id="{00000000-0008-0000-1400-000020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33</xdr:row>
      <xdr:rowOff>0</xdr:rowOff>
    </xdr:from>
    <xdr:ext cx="381000" cy="381000"/>
    <xdr:pic>
      <xdr:nvPicPr>
        <xdr:cNvPr id="33" name="image83.jpg">
          <a:extLst>
            <a:ext uri="{FF2B5EF4-FFF2-40B4-BE49-F238E27FC236}">
              <a16:creationId xmlns:a16="http://schemas.microsoft.com/office/drawing/2014/main" id="{00000000-0008-0000-1400-000021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34</xdr:row>
      <xdr:rowOff>0</xdr:rowOff>
    </xdr:from>
    <xdr:ext cx="381000" cy="381000"/>
    <xdr:pic>
      <xdr:nvPicPr>
        <xdr:cNvPr id="34" name="image79.jpg">
          <a:extLst>
            <a:ext uri="{FF2B5EF4-FFF2-40B4-BE49-F238E27FC236}">
              <a16:creationId xmlns:a16="http://schemas.microsoft.com/office/drawing/2014/main" id="{00000000-0008-0000-1400-000022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35</xdr:row>
      <xdr:rowOff>0</xdr:rowOff>
    </xdr:from>
    <xdr:ext cx="381000" cy="381000"/>
    <xdr:pic>
      <xdr:nvPicPr>
        <xdr:cNvPr id="35" name="image59.jpg">
          <a:extLst>
            <a:ext uri="{FF2B5EF4-FFF2-40B4-BE49-F238E27FC236}">
              <a16:creationId xmlns:a16="http://schemas.microsoft.com/office/drawing/2014/main" id="{00000000-0008-0000-1400-000023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36</xdr:row>
      <xdr:rowOff>0</xdr:rowOff>
    </xdr:from>
    <xdr:ext cx="381000" cy="381000"/>
    <xdr:pic>
      <xdr:nvPicPr>
        <xdr:cNvPr id="36" name="image238.jpg">
          <a:extLst>
            <a:ext uri="{FF2B5EF4-FFF2-40B4-BE49-F238E27FC236}">
              <a16:creationId xmlns:a16="http://schemas.microsoft.com/office/drawing/2014/main" id="{00000000-0008-0000-1400-000024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37</xdr:row>
      <xdr:rowOff>0</xdr:rowOff>
    </xdr:from>
    <xdr:ext cx="381000" cy="381000"/>
    <xdr:pic>
      <xdr:nvPicPr>
        <xdr:cNvPr id="37" name="image14.jpg">
          <a:extLst>
            <a:ext uri="{FF2B5EF4-FFF2-40B4-BE49-F238E27FC236}">
              <a16:creationId xmlns:a16="http://schemas.microsoft.com/office/drawing/2014/main" id="{00000000-0008-0000-1400-000025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xdr:col>
      <xdr:colOff>0</xdr:colOff>
      <xdr:row>38</xdr:row>
      <xdr:rowOff>0</xdr:rowOff>
    </xdr:from>
    <xdr:ext cx="381000" cy="381000"/>
    <xdr:pic>
      <xdr:nvPicPr>
        <xdr:cNvPr id="38" name="image251.png">
          <a:extLst>
            <a:ext uri="{FF2B5EF4-FFF2-40B4-BE49-F238E27FC236}">
              <a16:creationId xmlns:a16="http://schemas.microsoft.com/office/drawing/2014/main" id="{00000000-0008-0000-1400-000026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39</xdr:row>
      <xdr:rowOff>0</xdr:rowOff>
    </xdr:from>
    <xdr:ext cx="381000" cy="381000"/>
    <xdr:pic>
      <xdr:nvPicPr>
        <xdr:cNvPr id="39" name="image109.jpg">
          <a:extLst>
            <a:ext uri="{FF2B5EF4-FFF2-40B4-BE49-F238E27FC236}">
              <a16:creationId xmlns:a16="http://schemas.microsoft.com/office/drawing/2014/main" id="{00000000-0008-0000-1400-000027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40</xdr:row>
      <xdr:rowOff>0</xdr:rowOff>
    </xdr:from>
    <xdr:ext cx="381000" cy="381000"/>
    <xdr:pic>
      <xdr:nvPicPr>
        <xdr:cNvPr id="40" name="image58.jpg">
          <a:extLst>
            <a:ext uri="{FF2B5EF4-FFF2-40B4-BE49-F238E27FC236}">
              <a16:creationId xmlns:a16="http://schemas.microsoft.com/office/drawing/2014/main" id="{00000000-0008-0000-1400-000028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xdr:col>
      <xdr:colOff>0</xdr:colOff>
      <xdr:row>41</xdr:row>
      <xdr:rowOff>0</xdr:rowOff>
    </xdr:from>
    <xdr:ext cx="381000" cy="381000"/>
    <xdr:pic>
      <xdr:nvPicPr>
        <xdr:cNvPr id="41" name="image50.jpg">
          <a:extLst>
            <a:ext uri="{FF2B5EF4-FFF2-40B4-BE49-F238E27FC236}">
              <a16:creationId xmlns:a16="http://schemas.microsoft.com/office/drawing/2014/main" id="{00000000-0008-0000-1400-000029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42</xdr:row>
      <xdr:rowOff>0</xdr:rowOff>
    </xdr:from>
    <xdr:ext cx="381000" cy="381000"/>
    <xdr:pic>
      <xdr:nvPicPr>
        <xdr:cNvPr id="42" name="image93.jpg">
          <a:extLst>
            <a:ext uri="{FF2B5EF4-FFF2-40B4-BE49-F238E27FC236}">
              <a16:creationId xmlns:a16="http://schemas.microsoft.com/office/drawing/2014/main" id="{00000000-0008-0000-1400-00002A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43</xdr:row>
      <xdr:rowOff>0</xdr:rowOff>
    </xdr:from>
    <xdr:ext cx="381000" cy="381000"/>
    <xdr:pic>
      <xdr:nvPicPr>
        <xdr:cNvPr id="43" name="image36.jpg">
          <a:extLst>
            <a:ext uri="{FF2B5EF4-FFF2-40B4-BE49-F238E27FC236}">
              <a16:creationId xmlns:a16="http://schemas.microsoft.com/office/drawing/2014/main" id="{00000000-0008-0000-1400-00002B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44</xdr:row>
      <xdr:rowOff>0</xdr:rowOff>
    </xdr:from>
    <xdr:ext cx="381000" cy="381000"/>
    <xdr:pic>
      <xdr:nvPicPr>
        <xdr:cNvPr id="44" name="image51.jpg">
          <a:extLst>
            <a:ext uri="{FF2B5EF4-FFF2-40B4-BE49-F238E27FC236}">
              <a16:creationId xmlns:a16="http://schemas.microsoft.com/office/drawing/2014/main" id="{00000000-0008-0000-1400-00002C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45</xdr:row>
      <xdr:rowOff>0</xdr:rowOff>
    </xdr:from>
    <xdr:ext cx="381000" cy="381000"/>
    <xdr:pic>
      <xdr:nvPicPr>
        <xdr:cNvPr id="45" name="image51.jpg">
          <a:extLst>
            <a:ext uri="{FF2B5EF4-FFF2-40B4-BE49-F238E27FC236}">
              <a16:creationId xmlns:a16="http://schemas.microsoft.com/office/drawing/2014/main" id="{00000000-0008-0000-1400-00002D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46</xdr:row>
      <xdr:rowOff>0</xdr:rowOff>
    </xdr:from>
    <xdr:ext cx="371475" cy="381000"/>
    <xdr:pic>
      <xdr:nvPicPr>
        <xdr:cNvPr id="46" name="image164.png">
          <a:extLst>
            <a:ext uri="{FF2B5EF4-FFF2-40B4-BE49-F238E27FC236}">
              <a16:creationId xmlns:a16="http://schemas.microsoft.com/office/drawing/2014/main" id="{00000000-0008-0000-1400-00002E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47</xdr:row>
      <xdr:rowOff>0</xdr:rowOff>
    </xdr:from>
    <xdr:ext cx="381000" cy="381000"/>
    <xdr:pic>
      <xdr:nvPicPr>
        <xdr:cNvPr id="47" name="image161.png">
          <a:extLst>
            <a:ext uri="{FF2B5EF4-FFF2-40B4-BE49-F238E27FC236}">
              <a16:creationId xmlns:a16="http://schemas.microsoft.com/office/drawing/2014/main" id="{00000000-0008-0000-1400-00002F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48</xdr:row>
      <xdr:rowOff>0</xdr:rowOff>
    </xdr:from>
    <xdr:ext cx="381000" cy="381000"/>
    <xdr:pic>
      <xdr:nvPicPr>
        <xdr:cNvPr id="48" name="image62.jpg">
          <a:extLst>
            <a:ext uri="{FF2B5EF4-FFF2-40B4-BE49-F238E27FC236}">
              <a16:creationId xmlns:a16="http://schemas.microsoft.com/office/drawing/2014/main" id="{00000000-0008-0000-1400-000030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49</xdr:row>
      <xdr:rowOff>0</xdr:rowOff>
    </xdr:from>
    <xdr:ext cx="381000" cy="381000"/>
    <xdr:pic>
      <xdr:nvPicPr>
        <xdr:cNvPr id="49" name="image22.jpg">
          <a:extLst>
            <a:ext uri="{FF2B5EF4-FFF2-40B4-BE49-F238E27FC236}">
              <a16:creationId xmlns:a16="http://schemas.microsoft.com/office/drawing/2014/main" id="{00000000-0008-0000-1400-000031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50</xdr:row>
      <xdr:rowOff>0</xdr:rowOff>
    </xdr:from>
    <xdr:ext cx="381000" cy="381000"/>
    <xdr:pic>
      <xdr:nvPicPr>
        <xdr:cNvPr id="50" name="image46.jpg">
          <a:extLst>
            <a:ext uri="{FF2B5EF4-FFF2-40B4-BE49-F238E27FC236}">
              <a16:creationId xmlns:a16="http://schemas.microsoft.com/office/drawing/2014/main" id="{00000000-0008-0000-1400-000032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51</xdr:row>
      <xdr:rowOff>0</xdr:rowOff>
    </xdr:from>
    <xdr:ext cx="381000" cy="381000"/>
    <xdr:pic>
      <xdr:nvPicPr>
        <xdr:cNvPr id="51" name="image126.png">
          <a:extLst>
            <a:ext uri="{FF2B5EF4-FFF2-40B4-BE49-F238E27FC236}">
              <a16:creationId xmlns:a16="http://schemas.microsoft.com/office/drawing/2014/main" id="{00000000-0008-0000-1400-000033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52</xdr:row>
      <xdr:rowOff>0</xdr:rowOff>
    </xdr:from>
    <xdr:ext cx="381000" cy="381000"/>
    <xdr:pic>
      <xdr:nvPicPr>
        <xdr:cNvPr id="52" name="image242.jpg">
          <a:extLst>
            <a:ext uri="{FF2B5EF4-FFF2-40B4-BE49-F238E27FC236}">
              <a16:creationId xmlns:a16="http://schemas.microsoft.com/office/drawing/2014/main" id="{00000000-0008-0000-1400-000034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53</xdr:row>
      <xdr:rowOff>0</xdr:rowOff>
    </xdr:from>
    <xdr:ext cx="381000" cy="381000"/>
    <xdr:pic>
      <xdr:nvPicPr>
        <xdr:cNvPr id="53" name="image17.jpg">
          <a:extLst>
            <a:ext uri="{FF2B5EF4-FFF2-40B4-BE49-F238E27FC236}">
              <a16:creationId xmlns:a16="http://schemas.microsoft.com/office/drawing/2014/main" id="{00000000-0008-0000-1400-000035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xdr:col>
      <xdr:colOff>0</xdr:colOff>
      <xdr:row>54</xdr:row>
      <xdr:rowOff>0</xdr:rowOff>
    </xdr:from>
    <xdr:ext cx="381000" cy="381000"/>
    <xdr:pic>
      <xdr:nvPicPr>
        <xdr:cNvPr id="54" name="image53.jpg">
          <a:extLst>
            <a:ext uri="{FF2B5EF4-FFF2-40B4-BE49-F238E27FC236}">
              <a16:creationId xmlns:a16="http://schemas.microsoft.com/office/drawing/2014/main" id="{00000000-0008-0000-1400-000036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55</xdr:row>
      <xdr:rowOff>0</xdr:rowOff>
    </xdr:from>
    <xdr:ext cx="381000" cy="381000"/>
    <xdr:pic>
      <xdr:nvPicPr>
        <xdr:cNvPr id="55" name="image85.jpg">
          <a:extLst>
            <a:ext uri="{FF2B5EF4-FFF2-40B4-BE49-F238E27FC236}">
              <a16:creationId xmlns:a16="http://schemas.microsoft.com/office/drawing/2014/main" id="{00000000-0008-0000-1400-000037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56</xdr:row>
      <xdr:rowOff>0</xdr:rowOff>
    </xdr:from>
    <xdr:ext cx="381000" cy="381000"/>
    <xdr:pic>
      <xdr:nvPicPr>
        <xdr:cNvPr id="56" name="image176.png">
          <a:extLst>
            <a:ext uri="{FF2B5EF4-FFF2-40B4-BE49-F238E27FC236}">
              <a16:creationId xmlns:a16="http://schemas.microsoft.com/office/drawing/2014/main" id="{00000000-0008-0000-1400-000038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57</xdr:row>
      <xdr:rowOff>0</xdr:rowOff>
    </xdr:from>
    <xdr:ext cx="381000" cy="381000"/>
    <xdr:pic>
      <xdr:nvPicPr>
        <xdr:cNvPr id="57" name="image82.jpg">
          <a:extLst>
            <a:ext uri="{FF2B5EF4-FFF2-40B4-BE49-F238E27FC236}">
              <a16:creationId xmlns:a16="http://schemas.microsoft.com/office/drawing/2014/main" id="{00000000-0008-0000-1400-000039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58</xdr:row>
      <xdr:rowOff>0</xdr:rowOff>
    </xdr:from>
    <xdr:ext cx="381000" cy="381000"/>
    <xdr:pic>
      <xdr:nvPicPr>
        <xdr:cNvPr id="58" name="image143.png">
          <a:extLst>
            <a:ext uri="{FF2B5EF4-FFF2-40B4-BE49-F238E27FC236}">
              <a16:creationId xmlns:a16="http://schemas.microsoft.com/office/drawing/2014/main" id="{00000000-0008-0000-1400-00003A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xdr:col>
      <xdr:colOff>0</xdr:colOff>
      <xdr:row>59</xdr:row>
      <xdr:rowOff>0</xdr:rowOff>
    </xdr:from>
    <xdr:ext cx="381000" cy="381000"/>
    <xdr:pic>
      <xdr:nvPicPr>
        <xdr:cNvPr id="59" name="image143.png">
          <a:extLst>
            <a:ext uri="{FF2B5EF4-FFF2-40B4-BE49-F238E27FC236}">
              <a16:creationId xmlns:a16="http://schemas.microsoft.com/office/drawing/2014/main" id="{00000000-0008-0000-1400-00003B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xdr:col>
      <xdr:colOff>0</xdr:colOff>
      <xdr:row>60</xdr:row>
      <xdr:rowOff>0</xdr:rowOff>
    </xdr:from>
    <xdr:ext cx="381000" cy="381000"/>
    <xdr:pic>
      <xdr:nvPicPr>
        <xdr:cNvPr id="60" name="image135.png">
          <a:extLst>
            <a:ext uri="{FF2B5EF4-FFF2-40B4-BE49-F238E27FC236}">
              <a16:creationId xmlns:a16="http://schemas.microsoft.com/office/drawing/2014/main" id="{00000000-0008-0000-1400-00003C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xdr:col>
      <xdr:colOff>0</xdr:colOff>
      <xdr:row>61</xdr:row>
      <xdr:rowOff>0</xdr:rowOff>
    </xdr:from>
    <xdr:ext cx="381000" cy="381000"/>
    <xdr:pic>
      <xdr:nvPicPr>
        <xdr:cNvPr id="61" name="image86.jpg">
          <a:extLst>
            <a:ext uri="{FF2B5EF4-FFF2-40B4-BE49-F238E27FC236}">
              <a16:creationId xmlns:a16="http://schemas.microsoft.com/office/drawing/2014/main" id="{00000000-0008-0000-1400-00003D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xdr:col>
      <xdr:colOff>0</xdr:colOff>
      <xdr:row>62</xdr:row>
      <xdr:rowOff>0</xdr:rowOff>
    </xdr:from>
    <xdr:ext cx="381000" cy="381000"/>
    <xdr:pic>
      <xdr:nvPicPr>
        <xdr:cNvPr id="62" name="image1.jpg">
          <a:extLst>
            <a:ext uri="{FF2B5EF4-FFF2-40B4-BE49-F238E27FC236}">
              <a16:creationId xmlns:a16="http://schemas.microsoft.com/office/drawing/2014/main" id="{00000000-0008-0000-1400-00003E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xdr:col>
      <xdr:colOff>0</xdr:colOff>
      <xdr:row>63</xdr:row>
      <xdr:rowOff>0</xdr:rowOff>
    </xdr:from>
    <xdr:ext cx="381000" cy="381000"/>
    <xdr:pic>
      <xdr:nvPicPr>
        <xdr:cNvPr id="63" name="image1.jpg">
          <a:extLst>
            <a:ext uri="{FF2B5EF4-FFF2-40B4-BE49-F238E27FC236}">
              <a16:creationId xmlns:a16="http://schemas.microsoft.com/office/drawing/2014/main" id="{00000000-0008-0000-1400-00003F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xdr:col>
      <xdr:colOff>0</xdr:colOff>
      <xdr:row>64</xdr:row>
      <xdr:rowOff>0</xdr:rowOff>
    </xdr:from>
    <xdr:ext cx="381000" cy="381000"/>
    <xdr:pic>
      <xdr:nvPicPr>
        <xdr:cNvPr id="64" name="image180.jpg">
          <a:extLst>
            <a:ext uri="{FF2B5EF4-FFF2-40B4-BE49-F238E27FC236}">
              <a16:creationId xmlns:a16="http://schemas.microsoft.com/office/drawing/2014/main" id="{00000000-0008-0000-1400-000040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1</xdr:col>
      <xdr:colOff>0</xdr:colOff>
      <xdr:row>65</xdr:row>
      <xdr:rowOff>0</xdr:rowOff>
    </xdr:from>
    <xdr:ext cx="381000" cy="381000"/>
    <xdr:pic>
      <xdr:nvPicPr>
        <xdr:cNvPr id="65" name="image180.jpg">
          <a:extLst>
            <a:ext uri="{FF2B5EF4-FFF2-40B4-BE49-F238E27FC236}">
              <a16:creationId xmlns:a16="http://schemas.microsoft.com/office/drawing/2014/main" id="{00000000-0008-0000-1400-000041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1</xdr:col>
      <xdr:colOff>0</xdr:colOff>
      <xdr:row>66</xdr:row>
      <xdr:rowOff>0</xdr:rowOff>
    </xdr:from>
    <xdr:ext cx="381000" cy="381000"/>
    <xdr:pic>
      <xdr:nvPicPr>
        <xdr:cNvPr id="66" name="image121.jpg">
          <a:extLst>
            <a:ext uri="{FF2B5EF4-FFF2-40B4-BE49-F238E27FC236}">
              <a16:creationId xmlns:a16="http://schemas.microsoft.com/office/drawing/2014/main" id="{00000000-0008-0000-1400-000042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xdr:col>
      <xdr:colOff>0</xdr:colOff>
      <xdr:row>67</xdr:row>
      <xdr:rowOff>0</xdr:rowOff>
    </xdr:from>
    <xdr:ext cx="381000" cy="381000"/>
    <xdr:pic>
      <xdr:nvPicPr>
        <xdr:cNvPr id="67" name="image121.jpg">
          <a:extLst>
            <a:ext uri="{FF2B5EF4-FFF2-40B4-BE49-F238E27FC236}">
              <a16:creationId xmlns:a16="http://schemas.microsoft.com/office/drawing/2014/main" id="{00000000-0008-0000-1400-000043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xdr:col>
      <xdr:colOff>0</xdr:colOff>
      <xdr:row>68</xdr:row>
      <xdr:rowOff>0</xdr:rowOff>
    </xdr:from>
    <xdr:ext cx="381000" cy="381000"/>
    <xdr:pic>
      <xdr:nvPicPr>
        <xdr:cNvPr id="68" name="image121.jpg">
          <a:extLst>
            <a:ext uri="{FF2B5EF4-FFF2-40B4-BE49-F238E27FC236}">
              <a16:creationId xmlns:a16="http://schemas.microsoft.com/office/drawing/2014/main" id="{00000000-0008-0000-1400-000044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xdr:col>
      <xdr:colOff>0</xdr:colOff>
      <xdr:row>69</xdr:row>
      <xdr:rowOff>0</xdr:rowOff>
    </xdr:from>
    <xdr:ext cx="381000" cy="381000"/>
    <xdr:pic>
      <xdr:nvPicPr>
        <xdr:cNvPr id="69" name="image90.jpg">
          <a:extLst>
            <a:ext uri="{FF2B5EF4-FFF2-40B4-BE49-F238E27FC236}">
              <a16:creationId xmlns:a16="http://schemas.microsoft.com/office/drawing/2014/main" id="{00000000-0008-0000-1400-000045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1</xdr:col>
      <xdr:colOff>0</xdr:colOff>
      <xdr:row>70</xdr:row>
      <xdr:rowOff>0</xdr:rowOff>
    </xdr:from>
    <xdr:ext cx="381000" cy="381000"/>
    <xdr:pic>
      <xdr:nvPicPr>
        <xdr:cNvPr id="70" name="image138.png">
          <a:extLst>
            <a:ext uri="{FF2B5EF4-FFF2-40B4-BE49-F238E27FC236}">
              <a16:creationId xmlns:a16="http://schemas.microsoft.com/office/drawing/2014/main" id="{00000000-0008-0000-1400-000046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1</xdr:col>
      <xdr:colOff>0</xdr:colOff>
      <xdr:row>71</xdr:row>
      <xdr:rowOff>0</xdr:rowOff>
    </xdr:from>
    <xdr:ext cx="381000" cy="381000"/>
    <xdr:pic>
      <xdr:nvPicPr>
        <xdr:cNvPr id="71" name="image117.jpg">
          <a:extLst>
            <a:ext uri="{FF2B5EF4-FFF2-40B4-BE49-F238E27FC236}">
              <a16:creationId xmlns:a16="http://schemas.microsoft.com/office/drawing/2014/main" id="{00000000-0008-0000-1400-000047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1</xdr:col>
      <xdr:colOff>0</xdr:colOff>
      <xdr:row>72</xdr:row>
      <xdr:rowOff>0</xdr:rowOff>
    </xdr:from>
    <xdr:ext cx="381000" cy="381000"/>
    <xdr:pic>
      <xdr:nvPicPr>
        <xdr:cNvPr id="72" name="image155.png">
          <a:extLst>
            <a:ext uri="{FF2B5EF4-FFF2-40B4-BE49-F238E27FC236}">
              <a16:creationId xmlns:a16="http://schemas.microsoft.com/office/drawing/2014/main" id="{00000000-0008-0000-1400-000048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1</xdr:col>
      <xdr:colOff>0</xdr:colOff>
      <xdr:row>73</xdr:row>
      <xdr:rowOff>0</xdr:rowOff>
    </xdr:from>
    <xdr:ext cx="371475" cy="381000"/>
    <xdr:pic>
      <xdr:nvPicPr>
        <xdr:cNvPr id="73" name="image165.png">
          <a:extLst>
            <a:ext uri="{FF2B5EF4-FFF2-40B4-BE49-F238E27FC236}">
              <a16:creationId xmlns:a16="http://schemas.microsoft.com/office/drawing/2014/main" id="{00000000-0008-0000-1400-000049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74</xdr:row>
      <xdr:rowOff>0</xdr:rowOff>
    </xdr:from>
    <xdr:ext cx="381000" cy="381000"/>
    <xdr:pic>
      <xdr:nvPicPr>
        <xdr:cNvPr id="74" name="image89.jpg">
          <a:extLst>
            <a:ext uri="{FF2B5EF4-FFF2-40B4-BE49-F238E27FC236}">
              <a16:creationId xmlns:a16="http://schemas.microsoft.com/office/drawing/2014/main" id="{00000000-0008-0000-1400-00004A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1</xdr:col>
      <xdr:colOff>0</xdr:colOff>
      <xdr:row>75</xdr:row>
      <xdr:rowOff>0</xdr:rowOff>
    </xdr:from>
    <xdr:ext cx="381000" cy="381000"/>
    <xdr:pic>
      <xdr:nvPicPr>
        <xdr:cNvPr id="75" name="image127.jpg">
          <a:extLst>
            <a:ext uri="{FF2B5EF4-FFF2-40B4-BE49-F238E27FC236}">
              <a16:creationId xmlns:a16="http://schemas.microsoft.com/office/drawing/2014/main" id="{00000000-0008-0000-1400-00004B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1</xdr:col>
      <xdr:colOff>0</xdr:colOff>
      <xdr:row>76</xdr:row>
      <xdr:rowOff>0</xdr:rowOff>
    </xdr:from>
    <xdr:ext cx="371475" cy="381000"/>
    <xdr:pic>
      <xdr:nvPicPr>
        <xdr:cNvPr id="76" name="image137.png">
          <a:extLst>
            <a:ext uri="{FF2B5EF4-FFF2-40B4-BE49-F238E27FC236}">
              <a16:creationId xmlns:a16="http://schemas.microsoft.com/office/drawing/2014/main" id="{00000000-0008-0000-1400-00004C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1</xdr:col>
      <xdr:colOff>0</xdr:colOff>
      <xdr:row>77</xdr:row>
      <xdr:rowOff>0</xdr:rowOff>
    </xdr:from>
    <xdr:ext cx="381000" cy="381000"/>
    <xdr:pic>
      <xdr:nvPicPr>
        <xdr:cNvPr id="77" name="image92.jpg">
          <a:extLst>
            <a:ext uri="{FF2B5EF4-FFF2-40B4-BE49-F238E27FC236}">
              <a16:creationId xmlns:a16="http://schemas.microsoft.com/office/drawing/2014/main" id="{00000000-0008-0000-1400-00004D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1</xdr:col>
      <xdr:colOff>0</xdr:colOff>
      <xdr:row>78</xdr:row>
      <xdr:rowOff>0</xdr:rowOff>
    </xdr:from>
    <xdr:ext cx="381000" cy="381000"/>
    <xdr:pic>
      <xdr:nvPicPr>
        <xdr:cNvPr id="78" name="image249.png">
          <a:extLst>
            <a:ext uri="{FF2B5EF4-FFF2-40B4-BE49-F238E27FC236}">
              <a16:creationId xmlns:a16="http://schemas.microsoft.com/office/drawing/2014/main" id="{00000000-0008-0000-1400-00004E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1</xdr:col>
      <xdr:colOff>0</xdr:colOff>
      <xdr:row>79</xdr:row>
      <xdr:rowOff>0</xdr:rowOff>
    </xdr:from>
    <xdr:ext cx="381000" cy="381000"/>
    <xdr:pic>
      <xdr:nvPicPr>
        <xdr:cNvPr id="79" name="image107.jpg">
          <a:extLst>
            <a:ext uri="{FF2B5EF4-FFF2-40B4-BE49-F238E27FC236}">
              <a16:creationId xmlns:a16="http://schemas.microsoft.com/office/drawing/2014/main" id="{00000000-0008-0000-1400-00004F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1</xdr:col>
      <xdr:colOff>0</xdr:colOff>
      <xdr:row>80</xdr:row>
      <xdr:rowOff>0</xdr:rowOff>
    </xdr:from>
    <xdr:ext cx="381000" cy="381000"/>
    <xdr:pic>
      <xdr:nvPicPr>
        <xdr:cNvPr id="80" name="image26.jpg">
          <a:extLst>
            <a:ext uri="{FF2B5EF4-FFF2-40B4-BE49-F238E27FC236}">
              <a16:creationId xmlns:a16="http://schemas.microsoft.com/office/drawing/2014/main" id="{00000000-0008-0000-1400-000050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1</xdr:col>
      <xdr:colOff>0</xdr:colOff>
      <xdr:row>81</xdr:row>
      <xdr:rowOff>0</xdr:rowOff>
    </xdr:from>
    <xdr:ext cx="381000" cy="381000"/>
    <xdr:pic>
      <xdr:nvPicPr>
        <xdr:cNvPr id="81" name="image49.jpg">
          <a:extLst>
            <a:ext uri="{FF2B5EF4-FFF2-40B4-BE49-F238E27FC236}">
              <a16:creationId xmlns:a16="http://schemas.microsoft.com/office/drawing/2014/main" id="{00000000-0008-0000-1400-000051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1</xdr:col>
      <xdr:colOff>0</xdr:colOff>
      <xdr:row>82</xdr:row>
      <xdr:rowOff>0</xdr:rowOff>
    </xdr:from>
    <xdr:ext cx="381000" cy="381000"/>
    <xdr:pic>
      <xdr:nvPicPr>
        <xdr:cNvPr id="82" name="image49.jpg">
          <a:extLst>
            <a:ext uri="{FF2B5EF4-FFF2-40B4-BE49-F238E27FC236}">
              <a16:creationId xmlns:a16="http://schemas.microsoft.com/office/drawing/2014/main" id="{00000000-0008-0000-1400-000052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1</xdr:col>
      <xdr:colOff>0</xdr:colOff>
      <xdr:row>83</xdr:row>
      <xdr:rowOff>0</xdr:rowOff>
    </xdr:from>
    <xdr:ext cx="381000" cy="381000"/>
    <xdr:pic>
      <xdr:nvPicPr>
        <xdr:cNvPr id="83" name="image87.jpg">
          <a:extLst>
            <a:ext uri="{FF2B5EF4-FFF2-40B4-BE49-F238E27FC236}">
              <a16:creationId xmlns:a16="http://schemas.microsoft.com/office/drawing/2014/main" id="{00000000-0008-0000-1400-000053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dr:oneCellAnchor>
    <xdr:from>
      <xdr:col>0</xdr:col>
      <xdr:colOff>0</xdr:colOff>
      <xdr:row>1</xdr:row>
      <xdr:rowOff>0</xdr:rowOff>
    </xdr:from>
    <xdr:ext cx="381000" cy="381000"/>
    <xdr:pic>
      <xdr:nvPicPr>
        <xdr:cNvPr id="2" name="image275.png">
          <a:extLst>
            <a:ext uri="{FF2B5EF4-FFF2-40B4-BE49-F238E27FC236}">
              <a16:creationId xmlns:a16="http://schemas.microsoft.com/office/drawing/2014/main" id="{00000000-0008-0000-1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xdr:row>
      <xdr:rowOff>0</xdr:rowOff>
    </xdr:from>
    <xdr:ext cx="381000" cy="381000"/>
    <xdr:pic>
      <xdr:nvPicPr>
        <xdr:cNvPr id="3" name="image177.png">
          <a:extLst>
            <a:ext uri="{FF2B5EF4-FFF2-40B4-BE49-F238E27FC236}">
              <a16:creationId xmlns:a16="http://schemas.microsoft.com/office/drawing/2014/main" id="{00000000-0008-0000-1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xdr:row>
      <xdr:rowOff>0</xdr:rowOff>
    </xdr:from>
    <xdr:ext cx="381000" cy="381000"/>
    <xdr:pic>
      <xdr:nvPicPr>
        <xdr:cNvPr id="4" name="image281.png">
          <a:extLst>
            <a:ext uri="{FF2B5EF4-FFF2-40B4-BE49-F238E27FC236}">
              <a16:creationId xmlns:a16="http://schemas.microsoft.com/office/drawing/2014/main" id="{00000000-0008-0000-1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xdr:row>
      <xdr:rowOff>0</xdr:rowOff>
    </xdr:from>
    <xdr:ext cx="381000" cy="381000"/>
    <xdr:pic>
      <xdr:nvPicPr>
        <xdr:cNvPr id="5" name="image140.png">
          <a:extLst>
            <a:ext uri="{FF2B5EF4-FFF2-40B4-BE49-F238E27FC236}">
              <a16:creationId xmlns:a16="http://schemas.microsoft.com/office/drawing/2014/main" id="{00000000-0008-0000-1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0</xdr:col>
      <xdr:colOff>0</xdr:colOff>
      <xdr:row>2</xdr:row>
      <xdr:rowOff>0</xdr:rowOff>
    </xdr:from>
    <xdr:ext cx="381000" cy="381000"/>
    <xdr:pic>
      <xdr:nvPicPr>
        <xdr:cNvPr id="6" name="image275.png">
          <a:extLst>
            <a:ext uri="{FF2B5EF4-FFF2-40B4-BE49-F238E27FC236}">
              <a16:creationId xmlns:a16="http://schemas.microsoft.com/office/drawing/2014/main" id="{00000000-0008-0000-1600-00000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xdr:row>
      <xdr:rowOff>0</xdr:rowOff>
    </xdr:from>
    <xdr:ext cx="381000" cy="381000"/>
    <xdr:pic>
      <xdr:nvPicPr>
        <xdr:cNvPr id="7" name="image177.png">
          <a:extLst>
            <a:ext uri="{FF2B5EF4-FFF2-40B4-BE49-F238E27FC236}">
              <a16:creationId xmlns:a16="http://schemas.microsoft.com/office/drawing/2014/main" id="{00000000-0008-0000-16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xdr:row>
      <xdr:rowOff>0</xdr:rowOff>
    </xdr:from>
    <xdr:ext cx="381000" cy="381000"/>
    <xdr:pic>
      <xdr:nvPicPr>
        <xdr:cNvPr id="8" name="image281.png">
          <a:extLst>
            <a:ext uri="{FF2B5EF4-FFF2-40B4-BE49-F238E27FC236}">
              <a16:creationId xmlns:a16="http://schemas.microsoft.com/office/drawing/2014/main" id="{00000000-0008-0000-1600-00000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2</xdr:row>
      <xdr:rowOff>0</xdr:rowOff>
    </xdr:from>
    <xdr:ext cx="381000" cy="381000"/>
    <xdr:pic>
      <xdr:nvPicPr>
        <xdr:cNvPr id="9" name="image140.png">
          <a:extLst>
            <a:ext uri="{FF2B5EF4-FFF2-40B4-BE49-F238E27FC236}">
              <a16:creationId xmlns:a16="http://schemas.microsoft.com/office/drawing/2014/main" id="{00000000-0008-0000-1600-00000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0</xdr:col>
      <xdr:colOff>0</xdr:colOff>
      <xdr:row>3</xdr:row>
      <xdr:rowOff>0</xdr:rowOff>
    </xdr:from>
    <xdr:ext cx="381000" cy="381000"/>
    <xdr:pic>
      <xdr:nvPicPr>
        <xdr:cNvPr id="10" name="image278.png">
          <a:extLst>
            <a:ext uri="{FF2B5EF4-FFF2-40B4-BE49-F238E27FC236}">
              <a16:creationId xmlns:a16="http://schemas.microsoft.com/office/drawing/2014/main" id="{00000000-0008-0000-1600-00000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xdr:row>
      <xdr:rowOff>0</xdr:rowOff>
    </xdr:from>
    <xdr:ext cx="381000" cy="381000"/>
    <xdr:pic>
      <xdr:nvPicPr>
        <xdr:cNvPr id="11" name="image270.png">
          <a:extLst>
            <a:ext uri="{FF2B5EF4-FFF2-40B4-BE49-F238E27FC236}">
              <a16:creationId xmlns:a16="http://schemas.microsoft.com/office/drawing/2014/main" id="{00000000-0008-0000-1600-00000B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3</xdr:row>
      <xdr:rowOff>0</xdr:rowOff>
    </xdr:from>
    <xdr:ext cx="381000" cy="381000"/>
    <xdr:pic>
      <xdr:nvPicPr>
        <xdr:cNvPr id="12" name="image281.png">
          <a:extLst>
            <a:ext uri="{FF2B5EF4-FFF2-40B4-BE49-F238E27FC236}">
              <a16:creationId xmlns:a16="http://schemas.microsoft.com/office/drawing/2014/main" id="{00000000-0008-0000-1600-00000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3</xdr:row>
      <xdr:rowOff>0</xdr:rowOff>
    </xdr:from>
    <xdr:ext cx="381000" cy="381000"/>
    <xdr:pic>
      <xdr:nvPicPr>
        <xdr:cNvPr id="13" name="image159.png">
          <a:extLst>
            <a:ext uri="{FF2B5EF4-FFF2-40B4-BE49-F238E27FC236}">
              <a16:creationId xmlns:a16="http://schemas.microsoft.com/office/drawing/2014/main" id="{00000000-0008-0000-1600-00000D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0</xdr:colOff>
      <xdr:row>4</xdr:row>
      <xdr:rowOff>0</xdr:rowOff>
    </xdr:from>
    <xdr:ext cx="381000" cy="381000"/>
    <xdr:pic>
      <xdr:nvPicPr>
        <xdr:cNvPr id="14" name="image278.png">
          <a:extLst>
            <a:ext uri="{FF2B5EF4-FFF2-40B4-BE49-F238E27FC236}">
              <a16:creationId xmlns:a16="http://schemas.microsoft.com/office/drawing/2014/main" id="{00000000-0008-0000-1600-00000E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4</xdr:row>
      <xdr:rowOff>0</xdr:rowOff>
    </xdr:from>
    <xdr:ext cx="381000" cy="381000"/>
    <xdr:pic>
      <xdr:nvPicPr>
        <xdr:cNvPr id="15" name="image270.png">
          <a:extLst>
            <a:ext uri="{FF2B5EF4-FFF2-40B4-BE49-F238E27FC236}">
              <a16:creationId xmlns:a16="http://schemas.microsoft.com/office/drawing/2014/main" id="{00000000-0008-0000-1600-00000F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4</xdr:row>
      <xdr:rowOff>0</xdr:rowOff>
    </xdr:from>
    <xdr:ext cx="381000" cy="381000"/>
    <xdr:pic>
      <xdr:nvPicPr>
        <xdr:cNvPr id="16" name="image281.png">
          <a:extLst>
            <a:ext uri="{FF2B5EF4-FFF2-40B4-BE49-F238E27FC236}">
              <a16:creationId xmlns:a16="http://schemas.microsoft.com/office/drawing/2014/main" id="{00000000-0008-0000-1600-00001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4</xdr:row>
      <xdr:rowOff>0</xdr:rowOff>
    </xdr:from>
    <xdr:ext cx="381000" cy="381000"/>
    <xdr:pic>
      <xdr:nvPicPr>
        <xdr:cNvPr id="17" name="image159.png">
          <a:extLst>
            <a:ext uri="{FF2B5EF4-FFF2-40B4-BE49-F238E27FC236}">
              <a16:creationId xmlns:a16="http://schemas.microsoft.com/office/drawing/2014/main" id="{00000000-0008-0000-1600-000011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0</xdr:colOff>
      <xdr:row>5</xdr:row>
      <xdr:rowOff>0</xdr:rowOff>
    </xdr:from>
    <xdr:ext cx="381000" cy="381000"/>
    <xdr:pic>
      <xdr:nvPicPr>
        <xdr:cNvPr id="18" name="image266.png">
          <a:extLst>
            <a:ext uri="{FF2B5EF4-FFF2-40B4-BE49-F238E27FC236}">
              <a16:creationId xmlns:a16="http://schemas.microsoft.com/office/drawing/2014/main" id="{00000000-0008-0000-1600-000012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5</xdr:row>
      <xdr:rowOff>0</xdr:rowOff>
    </xdr:from>
    <xdr:ext cx="381000" cy="381000"/>
    <xdr:pic>
      <xdr:nvPicPr>
        <xdr:cNvPr id="19" name="image272.png">
          <a:extLst>
            <a:ext uri="{FF2B5EF4-FFF2-40B4-BE49-F238E27FC236}">
              <a16:creationId xmlns:a16="http://schemas.microsoft.com/office/drawing/2014/main" id="{00000000-0008-0000-1600-00001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xdr:row>
      <xdr:rowOff>0</xdr:rowOff>
    </xdr:from>
    <xdr:ext cx="381000" cy="381000"/>
    <xdr:pic>
      <xdr:nvPicPr>
        <xdr:cNvPr id="20" name="image281.png">
          <a:extLst>
            <a:ext uri="{FF2B5EF4-FFF2-40B4-BE49-F238E27FC236}">
              <a16:creationId xmlns:a16="http://schemas.microsoft.com/office/drawing/2014/main" id="{00000000-0008-0000-1600-00001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5</xdr:row>
      <xdr:rowOff>0</xdr:rowOff>
    </xdr:from>
    <xdr:ext cx="381000" cy="381000"/>
    <xdr:pic>
      <xdr:nvPicPr>
        <xdr:cNvPr id="21" name="image279.png">
          <a:extLst>
            <a:ext uri="{FF2B5EF4-FFF2-40B4-BE49-F238E27FC236}">
              <a16:creationId xmlns:a16="http://schemas.microsoft.com/office/drawing/2014/main" id="{00000000-0008-0000-1600-000015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0</xdr:colOff>
      <xdr:row>6</xdr:row>
      <xdr:rowOff>0</xdr:rowOff>
    </xdr:from>
    <xdr:ext cx="381000" cy="381000"/>
    <xdr:pic>
      <xdr:nvPicPr>
        <xdr:cNvPr id="22" name="image266.png">
          <a:extLst>
            <a:ext uri="{FF2B5EF4-FFF2-40B4-BE49-F238E27FC236}">
              <a16:creationId xmlns:a16="http://schemas.microsoft.com/office/drawing/2014/main" id="{00000000-0008-0000-1600-000016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6</xdr:row>
      <xdr:rowOff>0</xdr:rowOff>
    </xdr:from>
    <xdr:ext cx="381000" cy="381000"/>
    <xdr:pic>
      <xdr:nvPicPr>
        <xdr:cNvPr id="23" name="image272.png">
          <a:extLst>
            <a:ext uri="{FF2B5EF4-FFF2-40B4-BE49-F238E27FC236}">
              <a16:creationId xmlns:a16="http://schemas.microsoft.com/office/drawing/2014/main" id="{00000000-0008-0000-1600-00001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6</xdr:row>
      <xdr:rowOff>0</xdr:rowOff>
    </xdr:from>
    <xdr:ext cx="381000" cy="381000"/>
    <xdr:pic>
      <xdr:nvPicPr>
        <xdr:cNvPr id="24" name="image281.png">
          <a:extLst>
            <a:ext uri="{FF2B5EF4-FFF2-40B4-BE49-F238E27FC236}">
              <a16:creationId xmlns:a16="http://schemas.microsoft.com/office/drawing/2014/main" id="{00000000-0008-0000-1600-00001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6</xdr:row>
      <xdr:rowOff>0</xdr:rowOff>
    </xdr:from>
    <xdr:ext cx="381000" cy="381000"/>
    <xdr:pic>
      <xdr:nvPicPr>
        <xdr:cNvPr id="25" name="image279.png">
          <a:extLst>
            <a:ext uri="{FF2B5EF4-FFF2-40B4-BE49-F238E27FC236}">
              <a16:creationId xmlns:a16="http://schemas.microsoft.com/office/drawing/2014/main" id="{00000000-0008-0000-1600-000019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0</xdr:colOff>
      <xdr:row>7</xdr:row>
      <xdr:rowOff>0</xdr:rowOff>
    </xdr:from>
    <xdr:ext cx="381000" cy="381000"/>
    <xdr:pic>
      <xdr:nvPicPr>
        <xdr:cNvPr id="26" name="image266.png">
          <a:extLst>
            <a:ext uri="{FF2B5EF4-FFF2-40B4-BE49-F238E27FC236}">
              <a16:creationId xmlns:a16="http://schemas.microsoft.com/office/drawing/2014/main" id="{00000000-0008-0000-1600-00001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xdr:row>
      <xdr:rowOff>0</xdr:rowOff>
    </xdr:from>
    <xdr:ext cx="381000" cy="381000"/>
    <xdr:pic>
      <xdr:nvPicPr>
        <xdr:cNvPr id="27" name="image272.png">
          <a:extLst>
            <a:ext uri="{FF2B5EF4-FFF2-40B4-BE49-F238E27FC236}">
              <a16:creationId xmlns:a16="http://schemas.microsoft.com/office/drawing/2014/main" id="{00000000-0008-0000-1600-00001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7</xdr:row>
      <xdr:rowOff>0</xdr:rowOff>
    </xdr:from>
    <xdr:ext cx="381000" cy="381000"/>
    <xdr:pic>
      <xdr:nvPicPr>
        <xdr:cNvPr id="28" name="image281.png">
          <a:extLst>
            <a:ext uri="{FF2B5EF4-FFF2-40B4-BE49-F238E27FC236}">
              <a16:creationId xmlns:a16="http://schemas.microsoft.com/office/drawing/2014/main" id="{00000000-0008-0000-1600-00001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7</xdr:row>
      <xdr:rowOff>0</xdr:rowOff>
    </xdr:from>
    <xdr:ext cx="381000" cy="381000"/>
    <xdr:pic>
      <xdr:nvPicPr>
        <xdr:cNvPr id="29" name="image279.png">
          <a:extLst>
            <a:ext uri="{FF2B5EF4-FFF2-40B4-BE49-F238E27FC236}">
              <a16:creationId xmlns:a16="http://schemas.microsoft.com/office/drawing/2014/main" id="{00000000-0008-0000-1600-00001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0</xdr:colOff>
      <xdr:row>8</xdr:row>
      <xdr:rowOff>0</xdr:rowOff>
    </xdr:from>
    <xdr:ext cx="381000" cy="381000"/>
    <xdr:pic>
      <xdr:nvPicPr>
        <xdr:cNvPr id="30" name="image266.png">
          <a:extLst>
            <a:ext uri="{FF2B5EF4-FFF2-40B4-BE49-F238E27FC236}">
              <a16:creationId xmlns:a16="http://schemas.microsoft.com/office/drawing/2014/main" id="{00000000-0008-0000-1600-00001E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xdr:row>
      <xdr:rowOff>0</xdr:rowOff>
    </xdr:from>
    <xdr:ext cx="381000" cy="381000"/>
    <xdr:pic>
      <xdr:nvPicPr>
        <xdr:cNvPr id="31" name="image272.png">
          <a:extLst>
            <a:ext uri="{FF2B5EF4-FFF2-40B4-BE49-F238E27FC236}">
              <a16:creationId xmlns:a16="http://schemas.microsoft.com/office/drawing/2014/main" id="{00000000-0008-0000-1600-00001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8</xdr:row>
      <xdr:rowOff>0</xdr:rowOff>
    </xdr:from>
    <xdr:ext cx="381000" cy="381000"/>
    <xdr:pic>
      <xdr:nvPicPr>
        <xdr:cNvPr id="32" name="image281.png">
          <a:extLst>
            <a:ext uri="{FF2B5EF4-FFF2-40B4-BE49-F238E27FC236}">
              <a16:creationId xmlns:a16="http://schemas.microsoft.com/office/drawing/2014/main" id="{00000000-0008-0000-1600-00002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8</xdr:row>
      <xdr:rowOff>0</xdr:rowOff>
    </xdr:from>
    <xdr:ext cx="381000" cy="381000"/>
    <xdr:pic>
      <xdr:nvPicPr>
        <xdr:cNvPr id="33" name="image279.png">
          <a:extLst>
            <a:ext uri="{FF2B5EF4-FFF2-40B4-BE49-F238E27FC236}">
              <a16:creationId xmlns:a16="http://schemas.microsoft.com/office/drawing/2014/main" id="{00000000-0008-0000-1600-000021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0</xdr:colOff>
      <xdr:row>9</xdr:row>
      <xdr:rowOff>0</xdr:rowOff>
    </xdr:from>
    <xdr:ext cx="381000" cy="381000"/>
    <xdr:pic>
      <xdr:nvPicPr>
        <xdr:cNvPr id="34" name="image280.png">
          <a:extLst>
            <a:ext uri="{FF2B5EF4-FFF2-40B4-BE49-F238E27FC236}">
              <a16:creationId xmlns:a16="http://schemas.microsoft.com/office/drawing/2014/main" id="{00000000-0008-0000-1600-00002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9</xdr:row>
      <xdr:rowOff>0</xdr:rowOff>
    </xdr:from>
    <xdr:ext cx="381000" cy="381000"/>
    <xdr:pic>
      <xdr:nvPicPr>
        <xdr:cNvPr id="35" name="image270.png">
          <a:extLst>
            <a:ext uri="{FF2B5EF4-FFF2-40B4-BE49-F238E27FC236}">
              <a16:creationId xmlns:a16="http://schemas.microsoft.com/office/drawing/2014/main" id="{00000000-0008-0000-1600-000023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9</xdr:row>
      <xdr:rowOff>0</xdr:rowOff>
    </xdr:from>
    <xdr:ext cx="381000" cy="381000"/>
    <xdr:pic>
      <xdr:nvPicPr>
        <xdr:cNvPr id="36" name="image281.png">
          <a:extLst>
            <a:ext uri="{FF2B5EF4-FFF2-40B4-BE49-F238E27FC236}">
              <a16:creationId xmlns:a16="http://schemas.microsoft.com/office/drawing/2014/main" id="{00000000-0008-0000-1600-00002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9</xdr:row>
      <xdr:rowOff>0</xdr:rowOff>
    </xdr:from>
    <xdr:ext cx="381000" cy="381000"/>
    <xdr:pic>
      <xdr:nvPicPr>
        <xdr:cNvPr id="37" name="image155.png">
          <a:extLst>
            <a:ext uri="{FF2B5EF4-FFF2-40B4-BE49-F238E27FC236}">
              <a16:creationId xmlns:a16="http://schemas.microsoft.com/office/drawing/2014/main" id="{00000000-0008-0000-1600-000025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0</xdr:col>
      <xdr:colOff>0</xdr:colOff>
      <xdr:row>10</xdr:row>
      <xdr:rowOff>0</xdr:rowOff>
    </xdr:from>
    <xdr:ext cx="381000" cy="381000"/>
    <xdr:pic>
      <xdr:nvPicPr>
        <xdr:cNvPr id="38" name="image280.png">
          <a:extLst>
            <a:ext uri="{FF2B5EF4-FFF2-40B4-BE49-F238E27FC236}">
              <a16:creationId xmlns:a16="http://schemas.microsoft.com/office/drawing/2014/main" id="{00000000-0008-0000-1600-00002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10</xdr:row>
      <xdr:rowOff>0</xdr:rowOff>
    </xdr:from>
    <xdr:ext cx="381000" cy="381000"/>
    <xdr:pic>
      <xdr:nvPicPr>
        <xdr:cNvPr id="39" name="image270.png">
          <a:extLst>
            <a:ext uri="{FF2B5EF4-FFF2-40B4-BE49-F238E27FC236}">
              <a16:creationId xmlns:a16="http://schemas.microsoft.com/office/drawing/2014/main" id="{00000000-0008-0000-1600-00002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10</xdr:row>
      <xdr:rowOff>0</xdr:rowOff>
    </xdr:from>
    <xdr:ext cx="381000" cy="381000"/>
    <xdr:pic>
      <xdr:nvPicPr>
        <xdr:cNvPr id="40" name="image281.png">
          <a:extLst>
            <a:ext uri="{FF2B5EF4-FFF2-40B4-BE49-F238E27FC236}">
              <a16:creationId xmlns:a16="http://schemas.microsoft.com/office/drawing/2014/main" id="{00000000-0008-0000-1600-00002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10</xdr:row>
      <xdr:rowOff>0</xdr:rowOff>
    </xdr:from>
    <xdr:ext cx="381000" cy="381000"/>
    <xdr:pic>
      <xdr:nvPicPr>
        <xdr:cNvPr id="41" name="image142.png">
          <a:extLst>
            <a:ext uri="{FF2B5EF4-FFF2-40B4-BE49-F238E27FC236}">
              <a16:creationId xmlns:a16="http://schemas.microsoft.com/office/drawing/2014/main" id="{00000000-0008-0000-1600-000029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0</xdr:col>
      <xdr:colOff>0</xdr:colOff>
      <xdr:row>11</xdr:row>
      <xdr:rowOff>0</xdr:rowOff>
    </xdr:from>
    <xdr:ext cx="381000" cy="381000"/>
    <xdr:pic>
      <xdr:nvPicPr>
        <xdr:cNvPr id="42" name="image280.png">
          <a:extLst>
            <a:ext uri="{FF2B5EF4-FFF2-40B4-BE49-F238E27FC236}">
              <a16:creationId xmlns:a16="http://schemas.microsoft.com/office/drawing/2014/main" id="{00000000-0008-0000-1600-00002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11</xdr:row>
      <xdr:rowOff>0</xdr:rowOff>
    </xdr:from>
    <xdr:ext cx="381000" cy="381000"/>
    <xdr:pic>
      <xdr:nvPicPr>
        <xdr:cNvPr id="43" name="image270.png">
          <a:extLst>
            <a:ext uri="{FF2B5EF4-FFF2-40B4-BE49-F238E27FC236}">
              <a16:creationId xmlns:a16="http://schemas.microsoft.com/office/drawing/2014/main" id="{00000000-0008-0000-1600-00002B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11</xdr:row>
      <xdr:rowOff>0</xdr:rowOff>
    </xdr:from>
    <xdr:ext cx="381000" cy="381000"/>
    <xdr:pic>
      <xdr:nvPicPr>
        <xdr:cNvPr id="44" name="image281.png">
          <a:extLst>
            <a:ext uri="{FF2B5EF4-FFF2-40B4-BE49-F238E27FC236}">
              <a16:creationId xmlns:a16="http://schemas.microsoft.com/office/drawing/2014/main" id="{00000000-0008-0000-1600-00002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11</xdr:row>
      <xdr:rowOff>0</xdr:rowOff>
    </xdr:from>
    <xdr:ext cx="381000" cy="381000"/>
    <xdr:pic>
      <xdr:nvPicPr>
        <xdr:cNvPr id="45" name="image142.png">
          <a:extLst>
            <a:ext uri="{FF2B5EF4-FFF2-40B4-BE49-F238E27FC236}">
              <a16:creationId xmlns:a16="http://schemas.microsoft.com/office/drawing/2014/main" id="{00000000-0008-0000-1600-00002D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0</xdr:col>
      <xdr:colOff>0</xdr:colOff>
      <xdr:row>12</xdr:row>
      <xdr:rowOff>0</xdr:rowOff>
    </xdr:from>
    <xdr:ext cx="381000" cy="381000"/>
    <xdr:pic>
      <xdr:nvPicPr>
        <xdr:cNvPr id="46" name="image280.png">
          <a:extLst>
            <a:ext uri="{FF2B5EF4-FFF2-40B4-BE49-F238E27FC236}">
              <a16:creationId xmlns:a16="http://schemas.microsoft.com/office/drawing/2014/main" id="{00000000-0008-0000-1600-00002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12</xdr:row>
      <xdr:rowOff>0</xdr:rowOff>
    </xdr:from>
    <xdr:ext cx="381000" cy="381000"/>
    <xdr:pic>
      <xdr:nvPicPr>
        <xdr:cNvPr id="47" name="image270.png">
          <a:extLst>
            <a:ext uri="{FF2B5EF4-FFF2-40B4-BE49-F238E27FC236}">
              <a16:creationId xmlns:a16="http://schemas.microsoft.com/office/drawing/2014/main" id="{00000000-0008-0000-1600-00002F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12</xdr:row>
      <xdr:rowOff>0</xdr:rowOff>
    </xdr:from>
    <xdr:ext cx="381000" cy="381000"/>
    <xdr:pic>
      <xdr:nvPicPr>
        <xdr:cNvPr id="48" name="image281.png">
          <a:extLst>
            <a:ext uri="{FF2B5EF4-FFF2-40B4-BE49-F238E27FC236}">
              <a16:creationId xmlns:a16="http://schemas.microsoft.com/office/drawing/2014/main" id="{00000000-0008-0000-1600-00003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12</xdr:row>
      <xdr:rowOff>0</xdr:rowOff>
    </xdr:from>
    <xdr:ext cx="381000" cy="381000"/>
    <xdr:pic>
      <xdr:nvPicPr>
        <xdr:cNvPr id="49" name="image134.png">
          <a:extLst>
            <a:ext uri="{FF2B5EF4-FFF2-40B4-BE49-F238E27FC236}">
              <a16:creationId xmlns:a16="http://schemas.microsoft.com/office/drawing/2014/main" id="{00000000-0008-0000-1600-000031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0</xdr:col>
      <xdr:colOff>0</xdr:colOff>
      <xdr:row>13</xdr:row>
      <xdr:rowOff>0</xdr:rowOff>
    </xdr:from>
    <xdr:ext cx="381000" cy="381000"/>
    <xdr:pic>
      <xdr:nvPicPr>
        <xdr:cNvPr id="50" name="image280.png">
          <a:extLst>
            <a:ext uri="{FF2B5EF4-FFF2-40B4-BE49-F238E27FC236}">
              <a16:creationId xmlns:a16="http://schemas.microsoft.com/office/drawing/2014/main" id="{00000000-0008-0000-1600-00003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13</xdr:row>
      <xdr:rowOff>0</xdr:rowOff>
    </xdr:from>
    <xdr:ext cx="381000" cy="381000"/>
    <xdr:pic>
      <xdr:nvPicPr>
        <xdr:cNvPr id="51" name="image270.png">
          <a:extLst>
            <a:ext uri="{FF2B5EF4-FFF2-40B4-BE49-F238E27FC236}">
              <a16:creationId xmlns:a16="http://schemas.microsoft.com/office/drawing/2014/main" id="{00000000-0008-0000-1600-000033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13</xdr:row>
      <xdr:rowOff>0</xdr:rowOff>
    </xdr:from>
    <xdr:ext cx="381000" cy="381000"/>
    <xdr:pic>
      <xdr:nvPicPr>
        <xdr:cNvPr id="52" name="image281.png">
          <a:extLst>
            <a:ext uri="{FF2B5EF4-FFF2-40B4-BE49-F238E27FC236}">
              <a16:creationId xmlns:a16="http://schemas.microsoft.com/office/drawing/2014/main" id="{00000000-0008-0000-1600-00003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13</xdr:row>
      <xdr:rowOff>0</xdr:rowOff>
    </xdr:from>
    <xdr:ext cx="381000" cy="381000"/>
    <xdr:pic>
      <xdr:nvPicPr>
        <xdr:cNvPr id="53" name="image134.png">
          <a:extLst>
            <a:ext uri="{FF2B5EF4-FFF2-40B4-BE49-F238E27FC236}">
              <a16:creationId xmlns:a16="http://schemas.microsoft.com/office/drawing/2014/main" id="{00000000-0008-0000-1600-000035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0</xdr:col>
      <xdr:colOff>0</xdr:colOff>
      <xdr:row>14</xdr:row>
      <xdr:rowOff>0</xdr:rowOff>
    </xdr:from>
    <xdr:ext cx="381000" cy="381000"/>
    <xdr:pic>
      <xdr:nvPicPr>
        <xdr:cNvPr id="54" name="image280.png">
          <a:extLst>
            <a:ext uri="{FF2B5EF4-FFF2-40B4-BE49-F238E27FC236}">
              <a16:creationId xmlns:a16="http://schemas.microsoft.com/office/drawing/2014/main" id="{00000000-0008-0000-1600-00003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14</xdr:row>
      <xdr:rowOff>0</xdr:rowOff>
    </xdr:from>
    <xdr:ext cx="381000" cy="381000"/>
    <xdr:pic>
      <xdr:nvPicPr>
        <xdr:cNvPr id="55" name="image270.png">
          <a:extLst>
            <a:ext uri="{FF2B5EF4-FFF2-40B4-BE49-F238E27FC236}">
              <a16:creationId xmlns:a16="http://schemas.microsoft.com/office/drawing/2014/main" id="{00000000-0008-0000-1600-00003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14</xdr:row>
      <xdr:rowOff>0</xdr:rowOff>
    </xdr:from>
    <xdr:ext cx="381000" cy="381000"/>
    <xdr:pic>
      <xdr:nvPicPr>
        <xdr:cNvPr id="56" name="image281.png">
          <a:extLst>
            <a:ext uri="{FF2B5EF4-FFF2-40B4-BE49-F238E27FC236}">
              <a16:creationId xmlns:a16="http://schemas.microsoft.com/office/drawing/2014/main" id="{00000000-0008-0000-1600-00003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14</xdr:row>
      <xdr:rowOff>0</xdr:rowOff>
    </xdr:from>
    <xdr:ext cx="381000" cy="381000"/>
    <xdr:pic>
      <xdr:nvPicPr>
        <xdr:cNvPr id="57" name="image134.png">
          <a:extLst>
            <a:ext uri="{FF2B5EF4-FFF2-40B4-BE49-F238E27FC236}">
              <a16:creationId xmlns:a16="http://schemas.microsoft.com/office/drawing/2014/main" id="{00000000-0008-0000-1600-000039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0</xdr:col>
      <xdr:colOff>0</xdr:colOff>
      <xdr:row>15</xdr:row>
      <xdr:rowOff>0</xdr:rowOff>
    </xdr:from>
    <xdr:ext cx="381000" cy="381000"/>
    <xdr:pic>
      <xdr:nvPicPr>
        <xdr:cNvPr id="58" name="image280.png">
          <a:extLst>
            <a:ext uri="{FF2B5EF4-FFF2-40B4-BE49-F238E27FC236}">
              <a16:creationId xmlns:a16="http://schemas.microsoft.com/office/drawing/2014/main" id="{00000000-0008-0000-1600-00003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15</xdr:row>
      <xdr:rowOff>0</xdr:rowOff>
    </xdr:from>
    <xdr:ext cx="381000" cy="381000"/>
    <xdr:pic>
      <xdr:nvPicPr>
        <xdr:cNvPr id="59" name="image272.png">
          <a:extLst>
            <a:ext uri="{FF2B5EF4-FFF2-40B4-BE49-F238E27FC236}">
              <a16:creationId xmlns:a16="http://schemas.microsoft.com/office/drawing/2014/main" id="{00000000-0008-0000-1600-00003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xdr:row>
      <xdr:rowOff>0</xdr:rowOff>
    </xdr:from>
    <xdr:ext cx="381000" cy="381000"/>
    <xdr:pic>
      <xdr:nvPicPr>
        <xdr:cNvPr id="60" name="image281.png">
          <a:extLst>
            <a:ext uri="{FF2B5EF4-FFF2-40B4-BE49-F238E27FC236}">
              <a16:creationId xmlns:a16="http://schemas.microsoft.com/office/drawing/2014/main" id="{00000000-0008-0000-1600-00003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15</xdr:row>
      <xdr:rowOff>0</xdr:rowOff>
    </xdr:from>
    <xdr:ext cx="381000" cy="381000"/>
    <xdr:pic>
      <xdr:nvPicPr>
        <xdr:cNvPr id="61" name="image152.png">
          <a:extLst>
            <a:ext uri="{FF2B5EF4-FFF2-40B4-BE49-F238E27FC236}">
              <a16:creationId xmlns:a16="http://schemas.microsoft.com/office/drawing/2014/main" id="{00000000-0008-0000-1600-00003D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0</xdr:col>
      <xdr:colOff>0</xdr:colOff>
      <xdr:row>16</xdr:row>
      <xdr:rowOff>0</xdr:rowOff>
    </xdr:from>
    <xdr:ext cx="381000" cy="381000"/>
    <xdr:pic>
      <xdr:nvPicPr>
        <xdr:cNvPr id="62" name="image280.png">
          <a:extLst>
            <a:ext uri="{FF2B5EF4-FFF2-40B4-BE49-F238E27FC236}">
              <a16:creationId xmlns:a16="http://schemas.microsoft.com/office/drawing/2014/main" id="{00000000-0008-0000-1600-00003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16</xdr:row>
      <xdr:rowOff>0</xdr:rowOff>
    </xdr:from>
    <xdr:ext cx="381000" cy="381000"/>
    <xdr:pic>
      <xdr:nvPicPr>
        <xdr:cNvPr id="63" name="image272.png">
          <a:extLst>
            <a:ext uri="{FF2B5EF4-FFF2-40B4-BE49-F238E27FC236}">
              <a16:creationId xmlns:a16="http://schemas.microsoft.com/office/drawing/2014/main" id="{00000000-0008-0000-1600-00003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xdr:row>
      <xdr:rowOff>0</xdr:rowOff>
    </xdr:from>
    <xdr:ext cx="381000" cy="381000"/>
    <xdr:pic>
      <xdr:nvPicPr>
        <xdr:cNvPr id="64" name="image281.png">
          <a:extLst>
            <a:ext uri="{FF2B5EF4-FFF2-40B4-BE49-F238E27FC236}">
              <a16:creationId xmlns:a16="http://schemas.microsoft.com/office/drawing/2014/main" id="{00000000-0008-0000-1600-00004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16</xdr:row>
      <xdr:rowOff>0</xdr:rowOff>
    </xdr:from>
    <xdr:ext cx="381000" cy="381000"/>
    <xdr:pic>
      <xdr:nvPicPr>
        <xdr:cNvPr id="65" name="image146.png">
          <a:extLst>
            <a:ext uri="{FF2B5EF4-FFF2-40B4-BE49-F238E27FC236}">
              <a16:creationId xmlns:a16="http://schemas.microsoft.com/office/drawing/2014/main" id="{00000000-0008-0000-1600-00004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0</xdr:col>
      <xdr:colOff>0</xdr:colOff>
      <xdr:row>17</xdr:row>
      <xdr:rowOff>0</xdr:rowOff>
    </xdr:from>
    <xdr:ext cx="381000" cy="381000"/>
    <xdr:pic>
      <xdr:nvPicPr>
        <xdr:cNvPr id="66" name="image280.png">
          <a:extLst>
            <a:ext uri="{FF2B5EF4-FFF2-40B4-BE49-F238E27FC236}">
              <a16:creationId xmlns:a16="http://schemas.microsoft.com/office/drawing/2014/main" id="{00000000-0008-0000-1600-00004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17</xdr:row>
      <xdr:rowOff>0</xdr:rowOff>
    </xdr:from>
    <xdr:ext cx="381000" cy="381000"/>
    <xdr:pic>
      <xdr:nvPicPr>
        <xdr:cNvPr id="67" name="image272.png">
          <a:extLst>
            <a:ext uri="{FF2B5EF4-FFF2-40B4-BE49-F238E27FC236}">
              <a16:creationId xmlns:a16="http://schemas.microsoft.com/office/drawing/2014/main" id="{00000000-0008-0000-1600-00004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17</xdr:row>
      <xdr:rowOff>0</xdr:rowOff>
    </xdr:from>
    <xdr:ext cx="381000" cy="381000"/>
    <xdr:pic>
      <xdr:nvPicPr>
        <xdr:cNvPr id="68" name="image281.png">
          <a:extLst>
            <a:ext uri="{FF2B5EF4-FFF2-40B4-BE49-F238E27FC236}">
              <a16:creationId xmlns:a16="http://schemas.microsoft.com/office/drawing/2014/main" id="{00000000-0008-0000-1600-00004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17</xdr:row>
      <xdr:rowOff>0</xdr:rowOff>
    </xdr:from>
    <xdr:ext cx="381000" cy="381000"/>
    <xdr:pic>
      <xdr:nvPicPr>
        <xdr:cNvPr id="69" name="image146.png">
          <a:extLst>
            <a:ext uri="{FF2B5EF4-FFF2-40B4-BE49-F238E27FC236}">
              <a16:creationId xmlns:a16="http://schemas.microsoft.com/office/drawing/2014/main" id="{00000000-0008-0000-1600-000045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0</xdr:col>
      <xdr:colOff>0</xdr:colOff>
      <xdr:row>18</xdr:row>
      <xdr:rowOff>0</xdr:rowOff>
    </xdr:from>
    <xdr:ext cx="381000" cy="381000"/>
    <xdr:pic>
      <xdr:nvPicPr>
        <xdr:cNvPr id="70" name="image280.png">
          <a:extLst>
            <a:ext uri="{FF2B5EF4-FFF2-40B4-BE49-F238E27FC236}">
              <a16:creationId xmlns:a16="http://schemas.microsoft.com/office/drawing/2014/main" id="{00000000-0008-0000-1600-00004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18</xdr:row>
      <xdr:rowOff>0</xdr:rowOff>
    </xdr:from>
    <xdr:ext cx="381000" cy="381000"/>
    <xdr:pic>
      <xdr:nvPicPr>
        <xdr:cNvPr id="71" name="image283.png">
          <a:extLst>
            <a:ext uri="{FF2B5EF4-FFF2-40B4-BE49-F238E27FC236}">
              <a16:creationId xmlns:a16="http://schemas.microsoft.com/office/drawing/2014/main" id="{00000000-0008-0000-1600-000047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18</xdr:row>
      <xdr:rowOff>0</xdr:rowOff>
    </xdr:from>
    <xdr:ext cx="381000" cy="381000"/>
    <xdr:pic>
      <xdr:nvPicPr>
        <xdr:cNvPr id="72" name="image281.png">
          <a:extLst>
            <a:ext uri="{FF2B5EF4-FFF2-40B4-BE49-F238E27FC236}">
              <a16:creationId xmlns:a16="http://schemas.microsoft.com/office/drawing/2014/main" id="{00000000-0008-0000-1600-00004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18</xdr:row>
      <xdr:rowOff>0</xdr:rowOff>
    </xdr:from>
    <xdr:ext cx="381000" cy="381000"/>
    <xdr:pic>
      <xdr:nvPicPr>
        <xdr:cNvPr id="73" name="image149.png">
          <a:extLst>
            <a:ext uri="{FF2B5EF4-FFF2-40B4-BE49-F238E27FC236}">
              <a16:creationId xmlns:a16="http://schemas.microsoft.com/office/drawing/2014/main" id="{00000000-0008-0000-1600-000049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0</xdr:col>
      <xdr:colOff>0</xdr:colOff>
      <xdr:row>19</xdr:row>
      <xdr:rowOff>0</xdr:rowOff>
    </xdr:from>
    <xdr:ext cx="381000" cy="381000"/>
    <xdr:pic>
      <xdr:nvPicPr>
        <xdr:cNvPr id="74" name="image280.png">
          <a:extLst>
            <a:ext uri="{FF2B5EF4-FFF2-40B4-BE49-F238E27FC236}">
              <a16:creationId xmlns:a16="http://schemas.microsoft.com/office/drawing/2014/main" id="{00000000-0008-0000-1600-00004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19</xdr:row>
      <xdr:rowOff>0</xdr:rowOff>
    </xdr:from>
    <xdr:ext cx="381000" cy="381000"/>
    <xdr:pic>
      <xdr:nvPicPr>
        <xdr:cNvPr id="75" name="image283.png">
          <a:extLst>
            <a:ext uri="{FF2B5EF4-FFF2-40B4-BE49-F238E27FC236}">
              <a16:creationId xmlns:a16="http://schemas.microsoft.com/office/drawing/2014/main" id="{00000000-0008-0000-1600-00004B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19</xdr:row>
      <xdr:rowOff>0</xdr:rowOff>
    </xdr:from>
    <xdr:ext cx="381000" cy="381000"/>
    <xdr:pic>
      <xdr:nvPicPr>
        <xdr:cNvPr id="76" name="image281.png">
          <a:extLst>
            <a:ext uri="{FF2B5EF4-FFF2-40B4-BE49-F238E27FC236}">
              <a16:creationId xmlns:a16="http://schemas.microsoft.com/office/drawing/2014/main" id="{00000000-0008-0000-1600-00004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19</xdr:row>
      <xdr:rowOff>0</xdr:rowOff>
    </xdr:from>
    <xdr:ext cx="381000" cy="381000"/>
    <xdr:pic>
      <xdr:nvPicPr>
        <xdr:cNvPr id="77" name="image149.png">
          <a:extLst>
            <a:ext uri="{FF2B5EF4-FFF2-40B4-BE49-F238E27FC236}">
              <a16:creationId xmlns:a16="http://schemas.microsoft.com/office/drawing/2014/main" id="{00000000-0008-0000-1600-00004D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0</xdr:col>
      <xdr:colOff>0</xdr:colOff>
      <xdr:row>20</xdr:row>
      <xdr:rowOff>0</xdr:rowOff>
    </xdr:from>
    <xdr:ext cx="381000" cy="381000"/>
    <xdr:pic>
      <xdr:nvPicPr>
        <xdr:cNvPr id="78" name="image280.png">
          <a:extLst>
            <a:ext uri="{FF2B5EF4-FFF2-40B4-BE49-F238E27FC236}">
              <a16:creationId xmlns:a16="http://schemas.microsoft.com/office/drawing/2014/main" id="{00000000-0008-0000-1600-00004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20</xdr:row>
      <xdr:rowOff>0</xdr:rowOff>
    </xdr:from>
    <xdr:ext cx="381000" cy="381000"/>
    <xdr:pic>
      <xdr:nvPicPr>
        <xdr:cNvPr id="79" name="image282.png">
          <a:extLst>
            <a:ext uri="{FF2B5EF4-FFF2-40B4-BE49-F238E27FC236}">
              <a16:creationId xmlns:a16="http://schemas.microsoft.com/office/drawing/2014/main" id="{00000000-0008-0000-1600-00004F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20</xdr:row>
      <xdr:rowOff>0</xdr:rowOff>
    </xdr:from>
    <xdr:ext cx="381000" cy="381000"/>
    <xdr:pic>
      <xdr:nvPicPr>
        <xdr:cNvPr id="80" name="image281.png">
          <a:extLst>
            <a:ext uri="{FF2B5EF4-FFF2-40B4-BE49-F238E27FC236}">
              <a16:creationId xmlns:a16="http://schemas.microsoft.com/office/drawing/2014/main" id="{00000000-0008-0000-1600-00005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20</xdr:row>
      <xdr:rowOff>0</xdr:rowOff>
    </xdr:from>
    <xdr:ext cx="381000" cy="381000"/>
    <xdr:pic>
      <xdr:nvPicPr>
        <xdr:cNvPr id="81" name="image141.png">
          <a:extLst>
            <a:ext uri="{FF2B5EF4-FFF2-40B4-BE49-F238E27FC236}">
              <a16:creationId xmlns:a16="http://schemas.microsoft.com/office/drawing/2014/main" id="{00000000-0008-0000-1600-000051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0</xdr:col>
      <xdr:colOff>0</xdr:colOff>
      <xdr:row>21</xdr:row>
      <xdr:rowOff>0</xdr:rowOff>
    </xdr:from>
    <xdr:ext cx="381000" cy="381000"/>
    <xdr:pic>
      <xdr:nvPicPr>
        <xdr:cNvPr id="82" name="image280.png">
          <a:extLst>
            <a:ext uri="{FF2B5EF4-FFF2-40B4-BE49-F238E27FC236}">
              <a16:creationId xmlns:a16="http://schemas.microsoft.com/office/drawing/2014/main" id="{00000000-0008-0000-1600-00005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21</xdr:row>
      <xdr:rowOff>0</xdr:rowOff>
    </xdr:from>
    <xdr:ext cx="381000" cy="381000"/>
    <xdr:pic>
      <xdr:nvPicPr>
        <xdr:cNvPr id="83" name="image282.png">
          <a:extLst>
            <a:ext uri="{FF2B5EF4-FFF2-40B4-BE49-F238E27FC236}">
              <a16:creationId xmlns:a16="http://schemas.microsoft.com/office/drawing/2014/main" id="{00000000-0008-0000-1600-000053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21</xdr:row>
      <xdr:rowOff>0</xdr:rowOff>
    </xdr:from>
    <xdr:ext cx="381000" cy="381000"/>
    <xdr:pic>
      <xdr:nvPicPr>
        <xdr:cNvPr id="84" name="image281.png">
          <a:extLst>
            <a:ext uri="{FF2B5EF4-FFF2-40B4-BE49-F238E27FC236}">
              <a16:creationId xmlns:a16="http://schemas.microsoft.com/office/drawing/2014/main" id="{00000000-0008-0000-1600-00005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0</xdr:colOff>
      <xdr:row>21</xdr:row>
      <xdr:rowOff>0</xdr:rowOff>
    </xdr:from>
    <xdr:ext cx="381000" cy="381000"/>
    <xdr:pic>
      <xdr:nvPicPr>
        <xdr:cNvPr id="85" name="image141.png">
          <a:extLst>
            <a:ext uri="{FF2B5EF4-FFF2-40B4-BE49-F238E27FC236}">
              <a16:creationId xmlns:a16="http://schemas.microsoft.com/office/drawing/2014/main" id="{00000000-0008-0000-1600-00005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0</xdr:col>
      <xdr:colOff>0</xdr:colOff>
      <xdr:row>22</xdr:row>
      <xdr:rowOff>0</xdr:rowOff>
    </xdr:from>
    <xdr:ext cx="381000" cy="381000"/>
    <xdr:pic>
      <xdr:nvPicPr>
        <xdr:cNvPr id="86" name="image275.png">
          <a:extLst>
            <a:ext uri="{FF2B5EF4-FFF2-40B4-BE49-F238E27FC236}">
              <a16:creationId xmlns:a16="http://schemas.microsoft.com/office/drawing/2014/main" id="{00000000-0008-0000-1600-00005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22</xdr:row>
      <xdr:rowOff>0</xdr:rowOff>
    </xdr:from>
    <xdr:ext cx="381000" cy="381000"/>
    <xdr:pic>
      <xdr:nvPicPr>
        <xdr:cNvPr id="87" name="image272.png">
          <a:extLst>
            <a:ext uri="{FF2B5EF4-FFF2-40B4-BE49-F238E27FC236}">
              <a16:creationId xmlns:a16="http://schemas.microsoft.com/office/drawing/2014/main" id="{00000000-0008-0000-1600-00005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22</xdr:row>
      <xdr:rowOff>0</xdr:rowOff>
    </xdr:from>
    <xdr:ext cx="381000" cy="381000"/>
    <xdr:pic>
      <xdr:nvPicPr>
        <xdr:cNvPr id="88" name="image244.png">
          <a:extLst>
            <a:ext uri="{FF2B5EF4-FFF2-40B4-BE49-F238E27FC236}">
              <a16:creationId xmlns:a16="http://schemas.microsoft.com/office/drawing/2014/main" id="{00000000-0008-0000-1600-00005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22</xdr:row>
      <xdr:rowOff>0</xdr:rowOff>
    </xdr:from>
    <xdr:ext cx="381000" cy="381000"/>
    <xdr:pic>
      <xdr:nvPicPr>
        <xdr:cNvPr id="89" name="image118.png">
          <a:extLst>
            <a:ext uri="{FF2B5EF4-FFF2-40B4-BE49-F238E27FC236}">
              <a16:creationId xmlns:a16="http://schemas.microsoft.com/office/drawing/2014/main" id="{00000000-0008-0000-1600-000059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0</xdr:col>
      <xdr:colOff>0</xdr:colOff>
      <xdr:row>23</xdr:row>
      <xdr:rowOff>0</xdr:rowOff>
    </xdr:from>
    <xdr:ext cx="381000" cy="381000"/>
    <xdr:pic>
      <xdr:nvPicPr>
        <xdr:cNvPr id="90" name="image275.png">
          <a:extLst>
            <a:ext uri="{FF2B5EF4-FFF2-40B4-BE49-F238E27FC236}">
              <a16:creationId xmlns:a16="http://schemas.microsoft.com/office/drawing/2014/main" id="{00000000-0008-0000-1600-00005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23</xdr:row>
      <xdr:rowOff>0</xdr:rowOff>
    </xdr:from>
    <xdr:ext cx="381000" cy="381000"/>
    <xdr:pic>
      <xdr:nvPicPr>
        <xdr:cNvPr id="91" name="image272.png">
          <a:extLst>
            <a:ext uri="{FF2B5EF4-FFF2-40B4-BE49-F238E27FC236}">
              <a16:creationId xmlns:a16="http://schemas.microsoft.com/office/drawing/2014/main" id="{00000000-0008-0000-1600-00005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23</xdr:row>
      <xdr:rowOff>0</xdr:rowOff>
    </xdr:from>
    <xdr:ext cx="381000" cy="381000"/>
    <xdr:pic>
      <xdr:nvPicPr>
        <xdr:cNvPr id="92" name="image244.png">
          <a:extLst>
            <a:ext uri="{FF2B5EF4-FFF2-40B4-BE49-F238E27FC236}">
              <a16:creationId xmlns:a16="http://schemas.microsoft.com/office/drawing/2014/main" id="{00000000-0008-0000-1600-00005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23</xdr:row>
      <xdr:rowOff>0</xdr:rowOff>
    </xdr:from>
    <xdr:ext cx="381000" cy="381000"/>
    <xdr:pic>
      <xdr:nvPicPr>
        <xdr:cNvPr id="93" name="image118.png">
          <a:extLst>
            <a:ext uri="{FF2B5EF4-FFF2-40B4-BE49-F238E27FC236}">
              <a16:creationId xmlns:a16="http://schemas.microsoft.com/office/drawing/2014/main" id="{00000000-0008-0000-1600-00005D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0</xdr:col>
      <xdr:colOff>0</xdr:colOff>
      <xdr:row>24</xdr:row>
      <xdr:rowOff>0</xdr:rowOff>
    </xdr:from>
    <xdr:ext cx="381000" cy="381000"/>
    <xdr:pic>
      <xdr:nvPicPr>
        <xdr:cNvPr id="94" name="image275.png">
          <a:extLst>
            <a:ext uri="{FF2B5EF4-FFF2-40B4-BE49-F238E27FC236}">
              <a16:creationId xmlns:a16="http://schemas.microsoft.com/office/drawing/2014/main" id="{00000000-0008-0000-1600-00005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24</xdr:row>
      <xdr:rowOff>0</xdr:rowOff>
    </xdr:from>
    <xdr:ext cx="381000" cy="381000"/>
    <xdr:pic>
      <xdr:nvPicPr>
        <xdr:cNvPr id="95" name="image272.png">
          <a:extLst>
            <a:ext uri="{FF2B5EF4-FFF2-40B4-BE49-F238E27FC236}">
              <a16:creationId xmlns:a16="http://schemas.microsoft.com/office/drawing/2014/main" id="{00000000-0008-0000-1600-00005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24</xdr:row>
      <xdr:rowOff>0</xdr:rowOff>
    </xdr:from>
    <xdr:ext cx="381000" cy="381000"/>
    <xdr:pic>
      <xdr:nvPicPr>
        <xdr:cNvPr id="96" name="image244.png">
          <a:extLst>
            <a:ext uri="{FF2B5EF4-FFF2-40B4-BE49-F238E27FC236}">
              <a16:creationId xmlns:a16="http://schemas.microsoft.com/office/drawing/2014/main" id="{00000000-0008-0000-1600-00006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24</xdr:row>
      <xdr:rowOff>0</xdr:rowOff>
    </xdr:from>
    <xdr:ext cx="381000" cy="381000"/>
    <xdr:pic>
      <xdr:nvPicPr>
        <xdr:cNvPr id="97" name="image118.png">
          <a:extLst>
            <a:ext uri="{FF2B5EF4-FFF2-40B4-BE49-F238E27FC236}">
              <a16:creationId xmlns:a16="http://schemas.microsoft.com/office/drawing/2014/main" id="{00000000-0008-0000-1600-000061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0</xdr:col>
      <xdr:colOff>0</xdr:colOff>
      <xdr:row>25</xdr:row>
      <xdr:rowOff>0</xdr:rowOff>
    </xdr:from>
    <xdr:ext cx="381000" cy="381000"/>
    <xdr:pic>
      <xdr:nvPicPr>
        <xdr:cNvPr id="98" name="image275.png">
          <a:extLst>
            <a:ext uri="{FF2B5EF4-FFF2-40B4-BE49-F238E27FC236}">
              <a16:creationId xmlns:a16="http://schemas.microsoft.com/office/drawing/2014/main" id="{00000000-0008-0000-1600-00006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25</xdr:row>
      <xdr:rowOff>0</xdr:rowOff>
    </xdr:from>
    <xdr:ext cx="381000" cy="381000"/>
    <xdr:pic>
      <xdr:nvPicPr>
        <xdr:cNvPr id="99" name="image272.png">
          <a:extLst>
            <a:ext uri="{FF2B5EF4-FFF2-40B4-BE49-F238E27FC236}">
              <a16:creationId xmlns:a16="http://schemas.microsoft.com/office/drawing/2014/main" id="{00000000-0008-0000-1600-00006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25</xdr:row>
      <xdr:rowOff>0</xdr:rowOff>
    </xdr:from>
    <xdr:ext cx="381000" cy="381000"/>
    <xdr:pic>
      <xdr:nvPicPr>
        <xdr:cNvPr id="100" name="image244.png">
          <a:extLst>
            <a:ext uri="{FF2B5EF4-FFF2-40B4-BE49-F238E27FC236}">
              <a16:creationId xmlns:a16="http://schemas.microsoft.com/office/drawing/2014/main" id="{00000000-0008-0000-1600-00006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25</xdr:row>
      <xdr:rowOff>0</xdr:rowOff>
    </xdr:from>
    <xdr:ext cx="381000" cy="381000"/>
    <xdr:pic>
      <xdr:nvPicPr>
        <xdr:cNvPr id="101" name="image128.png">
          <a:extLst>
            <a:ext uri="{FF2B5EF4-FFF2-40B4-BE49-F238E27FC236}">
              <a16:creationId xmlns:a16="http://schemas.microsoft.com/office/drawing/2014/main" id="{00000000-0008-0000-1600-000065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26</xdr:row>
      <xdr:rowOff>0</xdr:rowOff>
    </xdr:from>
    <xdr:ext cx="381000" cy="381000"/>
    <xdr:pic>
      <xdr:nvPicPr>
        <xdr:cNvPr id="102" name="image275.png">
          <a:extLst>
            <a:ext uri="{FF2B5EF4-FFF2-40B4-BE49-F238E27FC236}">
              <a16:creationId xmlns:a16="http://schemas.microsoft.com/office/drawing/2014/main" id="{00000000-0008-0000-1600-00006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26</xdr:row>
      <xdr:rowOff>0</xdr:rowOff>
    </xdr:from>
    <xdr:ext cx="381000" cy="381000"/>
    <xdr:pic>
      <xdr:nvPicPr>
        <xdr:cNvPr id="103" name="image272.png">
          <a:extLst>
            <a:ext uri="{FF2B5EF4-FFF2-40B4-BE49-F238E27FC236}">
              <a16:creationId xmlns:a16="http://schemas.microsoft.com/office/drawing/2014/main" id="{00000000-0008-0000-1600-00006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26</xdr:row>
      <xdr:rowOff>0</xdr:rowOff>
    </xdr:from>
    <xdr:ext cx="381000" cy="381000"/>
    <xdr:pic>
      <xdr:nvPicPr>
        <xdr:cNvPr id="104" name="image244.png">
          <a:extLst>
            <a:ext uri="{FF2B5EF4-FFF2-40B4-BE49-F238E27FC236}">
              <a16:creationId xmlns:a16="http://schemas.microsoft.com/office/drawing/2014/main" id="{00000000-0008-0000-1600-00006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26</xdr:row>
      <xdr:rowOff>0</xdr:rowOff>
    </xdr:from>
    <xdr:ext cx="381000" cy="381000"/>
    <xdr:pic>
      <xdr:nvPicPr>
        <xdr:cNvPr id="105" name="image128.png">
          <a:extLst>
            <a:ext uri="{FF2B5EF4-FFF2-40B4-BE49-F238E27FC236}">
              <a16:creationId xmlns:a16="http://schemas.microsoft.com/office/drawing/2014/main" id="{00000000-0008-0000-1600-000069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27</xdr:row>
      <xdr:rowOff>0</xdr:rowOff>
    </xdr:from>
    <xdr:ext cx="381000" cy="381000"/>
    <xdr:pic>
      <xdr:nvPicPr>
        <xdr:cNvPr id="106" name="image275.png">
          <a:extLst>
            <a:ext uri="{FF2B5EF4-FFF2-40B4-BE49-F238E27FC236}">
              <a16:creationId xmlns:a16="http://schemas.microsoft.com/office/drawing/2014/main" id="{00000000-0008-0000-1600-00006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27</xdr:row>
      <xdr:rowOff>0</xdr:rowOff>
    </xdr:from>
    <xdr:ext cx="381000" cy="381000"/>
    <xdr:pic>
      <xdr:nvPicPr>
        <xdr:cNvPr id="107" name="image272.png">
          <a:extLst>
            <a:ext uri="{FF2B5EF4-FFF2-40B4-BE49-F238E27FC236}">
              <a16:creationId xmlns:a16="http://schemas.microsoft.com/office/drawing/2014/main" id="{00000000-0008-0000-1600-00006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27</xdr:row>
      <xdr:rowOff>0</xdr:rowOff>
    </xdr:from>
    <xdr:ext cx="381000" cy="381000"/>
    <xdr:pic>
      <xdr:nvPicPr>
        <xdr:cNvPr id="108" name="image244.png">
          <a:extLst>
            <a:ext uri="{FF2B5EF4-FFF2-40B4-BE49-F238E27FC236}">
              <a16:creationId xmlns:a16="http://schemas.microsoft.com/office/drawing/2014/main" id="{00000000-0008-0000-1600-00006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27</xdr:row>
      <xdr:rowOff>0</xdr:rowOff>
    </xdr:from>
    <xdr:ext cx="381000" cy="381000"/>
    <xdr:pic>
      <xdr:nvPicPr>
        <xdr:cNvPr id="109" name="image128.png">
          <a:extLst>
            <a:ext uri="{FF2B5EF4-FFF2-40B4-BE49-F238E27FC236}">
              <a16:creationId xmlns:a16="http://schemas.microsoft.com/office/drawing/2014/main" id="{00000000-0008-0000-1600-00006D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28</xdr:row>
      <xdr:rowOff>0</xdr:rowOff>
    </xdr:from>
    <xdr:ext cx="381000" cy="381000"/>
    <xdr:pic>
      <xdr:nvPicPr>
        <xdr:cNvPr id="110" name="image275.png">
          <a:extLst>
            <a:ext uri="{FF2B5EF4-FFF2-40B4-BE49-F238E27FC236}">
              <a16:creationId xmlns:a16="http://schemas.microsoft.com/office/drawing/2014/main" id="{00000000-0008-0000-1600-00006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28</xdr:row>
      <xdr:rowOff>0</xdr:rowOff>
    </xdr:from>
    <xdr:ext cx="381000" cy="381000"/>
    <xdr:pic>
      <xdr:nvPicPr>
        <xdr:cNvPr id="111" name="image272.png">
          <a:extLst>
            <a:ext uri="{FF2B5EF4-FFF2-40B4-BE49-F238E27FC236}">
              <a16:creationId xmlns:a16="http://schemas.microsoft.com/office/drawing/2014/main" id="{00000000-0008-0000-1600-00006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28</xdr:row>
      <xdr:rowOff>0</xdr:rowOff>
    </xdr:from>
    <xdr:ext cx="381000" cy="381000"/>
    <xdr:pic>
      <xdr:nvPicPr>
        <xdr:cNvPr id="112" name="image244.png">
          <a:extLst>
            <a:ext uri="{FF2B5EF4-FFF2-40B4-BE49-F238E27FC236}">
              <a16:creationId xmlns:a16="http://schemas.microsoft.com/office/drawing/2014/main" id="{00000000-0008-0000-1600-00007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28</xdr:row>
      <xdr:rowOff>0</xdr:rowOff>
    </xdr:from>
    <xdr:ext cx="381000" cy="381000"/>
    <xdr:pic>
      <xdr:nvPicPr>
        <xdr:cNvPr id="113" name="image128.png">
          <a:extLst>
            <a:ext uri="{FF2B5EF4-FFF2-40B4-BE49-F238E27FC236}">
              <a16:creationId xmlns:a16="http://schemas.microsoft.com/office/drawing/2014/main" id="{00000000-0008-0000-1600-000071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29</xdr:row>
      <xdr:rowOff>0</xdr:rowOff>
    </xdr:from>
    <xdr:ext cx="381000" cy="381000"/>
    <xdr:pic>
      <xdr:nvPicPr>
        <xdr:cNvPr id="114" name="image275.png">
          <a:extLst>
            <a:ext uri="{FF2B5EF4-FFF2-40B4-BE49-F238E27FC236}">
              <a16:creationId xmlns:a16="http://schemas.microsoft.com/office/drawing/2014/main" id="{00000000-0008-0000-1600-00007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29</xdr:row>
      <xdr:rowOff>0</xdr:rowOff>
    </xdr:from>
    <xdr:ext cx="381000" cy="381000"/>
    <xdr:pic>
      <xdr:nvPicPr>
        <xdr:cNvPr id="115" name="image272.png">
          <a:extLst>
            <a:ext uri="{FF2B5EF4-FFF2-40B4-BE49-F238E27FC236}">
              <a16:creationId xmlns:a16="http://schemas.microsoft.com/office/drawing/2014/main" id="{00000000-0008-0000-1600-00007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29</xdr:row>
      <xdr:rowOff>0</xdr:rowOff>
    </xdr:from>
    <xdr:ext cx="381000" cy="381000"/>
    <xdr:pic>
      <xdr:nvPicPr>
        <xdr:cNvPr id="116" name="image244.png">
          <a:extLst>
            <a:ext uri="{FF2B5EF4-FFF2-40B4-BE49-F238E27FC236}">
              <a16:creationId xmlns:a16="http://schemas.microsoft.com/office/drawing/2014/main" id="{00000000-0008-0000-1600-00007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29</xdr:row>
      <xdr:rowOff>0</xdr:rowOff>
    </xdr:from>
    <xdr:ext cx="381000" cy="381000"/>
    <xdr:pic>
      <xdr:nvPicPr>
        <xdr:cNvPr id="117" name="image128.png">
          <a:extLst>
            <a:ext uri="{FF2B5EF4-FFF2-40B4-BE49-F238E27FC236}">
              <a16:creationId xmlns:a16="http://schemas.microsoft.com/office/drawing/2014/main" id="{00000000-0008-0000-1600-000075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30</xdr:row>
      <xdr:rowOff>0</xdr:rowOff>
    </xdr:from>
    <xdr:ext cx="381000" cy="381000"/>
    <xdr:pic>
      <xdr:nvPicPr>
        <xdr:cNvPr id="118" name="image275.png">
          <a:extLst>
            <a:ext uri="{FF2B5EF4-FFF2-40B4-BE49-F238E27FC236}">
              <a16:creationId xmlns:a16="http://schemas.microsoft.com/office/drawing/2014/main" id="{00000000-0008-0000-1600-00007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30</xdr:row>
      <xdr:rowOff>0</xdr:rowOff>
    </xdr:from>
    <xdr:ext cx="381000" cy="381000"/>
    <xdr:pic>
      <xdr:nvPicPr>
        <xdr:cNvPr id="119" name="image272.png">
          <a:extLst>
            <a:ext uri="{FF2B5EF4-FFF2-40B4-BE49-F238E27FC236}">
              <a16:creationId xmlns:a16="http://schemas.microsoft.com/office/drawing/2014/main" id="{00000000-0008-0000-1600-00007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30</xdr:row>
      <xdr:rowOff>0</xdr:rowOff>
    </xdr:from>
    <xdr:ext cx="381000" cy="381000"/>
    <xdr:pic>
      <xdr:nvPicPr>
        <xdr:cNvPr id="120" name="image244.png">
          <a:extLst>
            <a:ext uri="{FF2B5EF4-FFF2-40B4-BE49-F238E27FC236}">
              <a16:creationId xmlns:a16="http://schemas.microsoft.com/office/drawing/2014/main" id="{00000000-0008-0000-1600-00007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30</xdr:row>
      <xdr:rowOff>0</xdr:rowOff>
    </xdr:from>
    <xdr:ext cx="381000" cy="381000"/>
    <xdr:pic>
      <xdr:nvPicPr>
        <xdr:cNvPr id="121" name="image128.png">
          <a:extLst>
            <a:ext uri="{FF2B5EF4-FFF2-40B4-BE49-F238E27FC236}">
              <a16:creationId xmlns:a16="http://schemas.microsoft.com/office/drawing/2014/main" id="{00000000-0008-0000-1600-000079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31</xdr:row>
      <xdr:rowOff>0</xdr:rowOff>
    </xdr:from>
    <xdr:ext cx="381000" cy="381000"/>
    <xdr:pic>
      <xdr:nvPicPr>
        <xdr:cNvPr id="122" name="image275.png">
          <a:extLst>
            <a:ext uri="{FF2B5EF4-FFF2-40B4-BE49-F238E27FC236}">
              <a16:creationId xmlns:a16="http://schemas.microsoft.com/office/drawing/2014/main" id="{00000000-0008-0000-1600-00007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31</xdr:row>
      <xdr:rowOff>0</xdr:rowOff>
    </xdr:from>
    <xdr:ext cx="381000" cy="381000"/>
    <xdr:pic>
      <xdr:nvPicPr>
        <xdr:cNvPr id="123" name="image272.png">
          <a:extLst>
            <a:ext uri="{FF2B5EF4-FFF2-40B4-BE49-F238E27FC236}">
              <a16:creationId xmlns:a16="http://schemas.microsoft.com/office/drawing/2014/main" id="{00000000-0008-0000-1600-00007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31</xdr:row>
      <xdr:rowOff>0</xdr:rowOff>
    </xdr:from>
    <xdr:ext cx="381000" cy="381000"/>
    <xdr:pic>
      <xdr:nvPicPr>
        <xdr:cNvPr id="124" name="image244.png">
          <a:extLst>
            <a:ext uri="{FF2B5EF4-FFF2-40B4-BE49-F238E27FC236}">
              <a16:creationId xmlns:a16="http://schemas.microsoft.com/office/drawing/2014/main" id="{00000000-0008-0000-1600-00007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31</xdr:row>
      <xdr:rowOff>0</xdr:rowOff>
    </xdr:from>
    <xdr:ext cx="381000" cy="381000"/>
    <xdr:pic>
      <xdr:nvPicPr>
        <xdr:cNvPr id="125" name="image128.png">
          <a:extLst>
            <a:ext uri="{FF2B5EF4-FFF2-40B4-BE49-F238E27FC236}">
              <a16:creationId xmlns:a16="http://schemas.microsoft.com/office/drawing/2014/main" id="{00000000-0008-0000-1600-00007D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32</xdr:row>
      <xdr:rowOff>0</xdr:rowOff>
    </xdr:from>
    <xdr:ext cx="381000" cy="381000"/>
    <xdr:pic>
      <xdr:nvPicPr>
        <xdr:cNvPr id="126" name="image275.png">
          <a:extLst>
            <a:ext uri="{FF2B5EF4-FFF2-40B4-BE49-F238E27FC236}">
              <a16:creationId xmlns:a16="http://schemas.microsoft.com/office/drawing/2014/main" id="{00000000-0008-0000-1600-00007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32</xdr:row>
      <xdr:rowOff>0</xdr:rowOff>
    </xdr:from>
    <xdr:ext cx="381000" cy="381000"/>
    <xdr:pic>
      <xdr:nvPicPr>
        <xdr:cNvPr id="127" name="image272.png">
          <a:extLst>
            <a:ext uri="{FF2B5EF4-FFF2-40B4-BE49-F238E27FC236}">
              <a16:creationId xmlns:a16="http://schemas.microsoft.com/office/drawing/2014/main" id="{00000000-0008-0000-1600-00007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32</xdr:row>
      <xdr:rowOff>0</xdr:rowOff>
    </xdr:from>
    <xdr:ext cx="381000" cy="381000"/>
    <xdr:pic>
      <xdr:nvPicPr>
        <xdr:cNvPr id="128" name="image244.png">
          <a:extLst>
            <a:ext uri="{FF2B5EF4-FFF2-40B4-BE49-F238E27FC236}">
              <a16:creationId xmlns:a16="http://schemas.microsoft.com/office/drawing/2014/main" id="{00000000-0008-0000-1600-00008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32</xdr:row>
      <xdr:rowOff>0</xdr:rowOff>
    </xdr:from>
    <xdr:ext cx="381000" cy="381000"/>
    <xdr:pic>
      <xdr:nvPicPr>
        <xdr:cNvPr id="129" name="image128.png">
          <a:extLst>
            <a:ext uri="{FF2B5EF4-FFF2-40B4-BE49-F238E27FC236}">
              <a16:creationId xmlns:a16="http://schemas.microsoft.com/office/drawing/2014/main" id="{00000000-0008-0000-1600-000081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33</xdr:row>
      <xdr:rowOff>0</xdr:rowOff>
    </xdr:from>
    <xdr:ext cx="381000" cy="381000"/>
    <xdr:pic>
      <xdr:nvPicPr>
        <xdr:cNvPr id="130" name="image275.png">
          <a:extLst>
            <a:ext uri="{FF2B5EF4-FFF2-40B4-BE49-F238E27FC236}">
              <a16:creationId xmlns:a16="http://schemas.microsoft.com/office/drawing/2014/main" id="{00000000-0008-0000-1600-00008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33</xdr:row>
      <xdr:rowOff>0</xdr:rowOff>
    </xdr:from>
    <xdr:ext cx="381000" cy="381000"/>
    <xdr:pic>
      <xdr:nvPicPr>
        <xdr:cNvPr id="131" name="image272.png">
          <a:extLst>
            <a:ext uri="{FF2B5EF4-FFF2-40B4-BE49-F238E27FC236}">
              <a16:creationId xmlns:a16="http://schemas.microsoft.com/office/drawing/2014/main" id="{00000000-0008-0000-1600-00008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33</xdr:row>
      <xdr:rowOff>0</xdr:rowOff>
    </xdr:from>
    <xdr:ext cx="381000" cy="381000"/>
    <xdr:pic>
      <xdr:nvPicPr>
        <xdr:cNvPr id="132" name="image244.png">
          <a:extLst>
            <a:ext uri="{FF2B5EF4-FFF2-40B4-BE49-F238E27FC236}">
              <a16:creationId xmlns:a16="http://schemas.microsoft.com/office/drawing/2014/main" id="{00000000-0008-0000-1600-00008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33</xdr:row>
      <xdr:rowOff>0</xdr:rowOff>
    </xdr:from>
    <xdr:ext cx="381000" cy="381000"/>
    <xdr:pic>
      <xdr:nvPicPr>
        <xdr:cNvPr id="133" name="image128.png">
          <a:extLst>
            <a:ext uri="{FF2B5EF4-FFF2-40B4-BE49-F238E27FC236}">
              <a16:creationId xmlns:a16="http://schemas.microsoft.com/office/drawing/2014/main" id="{00000000-0008-0000-1600-000085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34</xdr:row>
      <xdr:rowOff>0</xdr:rowOff>
    </xdr:from>
    <xdr:ext cx="381000" cy="381000"/>
    <xdr:pic>
      <xdr:nvPicPr>
        <xdr:cNvPr id="134" name="image275.png">
          <a:extLst>
            <a:ext uri="{FF2B5EF4-FFF2-40B4-BE49-F238E27FC236}">
              <a16:creationId xmlns:a16="http://schemas.microsoft.com/office/drawing/2014/main" id="{00000000-0008-0000-1600-00008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34</xdr:row>
      <xdr:rowOff>0</xdr:rowOff>
    </xdr:from>
    <xdr:ext cx="381000" cy="381000"/>
    <xdr:pic>
      <xdr:nvPicPr>
        <xdr:cNvPr id="135" name="image272.png">
          <a:extLst>
            <a:ext uri="{FF2B5EF4-FFF2-40B4-BE49-F238E27FC236}">
              <a16:creationId xmlns:a16="http://schemas.microsoft.com/office/drawing/2014/main" id="{00000000-0008-0000-1600-00008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34</xdr:row>
      <xdr:rowOff>0</xdr:rowOff>
    </xdr:from>
    <xdr:ext cx="381000" cy="381000"/>
    <xdr:pic>
      <xdr:nvPicPr>
        <xdr:cNvPr id="136" name="image244.png">
          <a:extLst>
            <a:ext uri="{FF2B5EF4-FFF2-40B4-BE49-F238E27FC236}">
              <a16:creationId xmlns:a16="http://schemas.microsoft.com/office/drawing/2014/main" id="{00000000-0008-0000-1600-00008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34</xdr:row>
      <xdr:rowOff>0</xdr:rowOff>
    </xdr:from>
    <xdr:ext cx="381000" cy="381000"/>
    <xdr:pic>
      <xdr:nvPicPr>
        <xdr:cNvPr id="137" name="image128.png">
          <a:extLst>
            <a:ext uri="{FF2B5EF4-FFF2-40B4-BE49-F238E27FC236}">
              <a16:creationId xmlns:a16="http://schemas.microsoft.com/office/drawing/2014/main" id="{00000000-0008-0000-1600-000089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35</xdr:row>
      <xdr:rowOff>0</xdr:rowOff>
    </xdr:from>
    <xdr:ext cx="381000" cy="381000"/>
    <xdr:pic>
      <xdr:nvPicPr>
        <xdr:cNvPr id="138" name="image275.png">
          <a:extLst>
            <a:ext uri="{FF2B5EF4-FFF2-40B4-BE49-F238E27FC236}">
              <a16:creationId xmlns:a16="http://schemas.microsoft.com/office/drawing/2014/main" id="{00000000-0008-0000-1600-00008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35</xdr:row>
      <xdr:rowOff>0</xdr:rowOff>
    </xdr:from>
    <xdr:ext cx="381000" cy="381000"/>
    <xdr:pic>
      <xdr:nvPicPr>
        <xdr:cNvPr id="139" name="image272.png">
          <a:extLst>
            <a:ext uri="{FF2B5EF4-FFF2-40B4-BE49-F238E27FC236}">
              <a16:creationId xmlns:a16="http://schemas.microsoft.com/office/drawing/2014/main" id="{00000000-0008-0000-1600-00008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35</xdr:row>
      <xdr:rowOff>0</xdr:rowOff>
    </xdr:from>
    <xdr:ext cx="381000" cy="381000"/>
    <xdr:pic>
      <xdr:nvPicPr>
        <xdr:cNvPr id="140" name="image244.png">
          <a:extLst>
            <a:ext uri="{FF2B5EF4-FFF2-40B4-BE49-F238E27FC236}">
              <a16:creationId xmlns:a16="http://schemas.microsoft.com/office/drawing/2014/main" id="{00000000-0008-0000-1600-00008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35</xdr:row>
      <xdr:rowOff>0</xdr:rowOff>
    </xdr:from>
    <xdr:ext cx="381000" cy="381000"/>
    <xdr:pic>
      <xdr:nvPicPr>
        <xdr:cNvPr id="141" name="image126.png">
          <a:extLst>
            <a:ext uri="{FF2B5EF4-FFF2-40B4-BE49-F238E27FC236}">
              <a16:creationId xmlns:a16="http://schemas.microsoft.com/office/drawing/2014/main" id="{00000000-0008-0000-1600-00008D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36</xdr:row>
      <xdr:rowOff>0</xdr:rowOff>
    </xdr:from>
    <xdr:ext cx="381000" cy="381000"/>
    <xdr:pic>
      <xdr:nvPicPr>
        <xdr:cNvPr id="142" name="image275.png">
          <a:extLst>
            <a:ext uri="{FF2B5EF4-FFF2-40B4-BE49-F238E27FC236}">
              <a16:creationId xmlns:a16="http://schemas.microsoft.com/office/drawing/2014/main" id="{00000000-0008-0000-1600-00008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36</xdr:row>
      <xdr:rowOff>0</xdr:rowOff>
    </xdr:from>
    <xdr:ext cx="381000" cy="381000"/>
    <xdr:pic>
      <xdr:nvPicPr>
        <xdr:cNvPr id="143" name="image272.png">
          <a:extLst>
            <a:ext uri="{FF2B5EF4-FFF2-40B4-BE49-F238E27FC236}">
              <a16:creationId xmlns:a16="http://schemas.microsoft.com/office/drawing/2014/main" id="{00000000-0008-0000-1600-00008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36</xdr:row>
      <xdr:rowOff>0</xdr:rowOff>
    </xdr:from>
    <xdr:ext cx="381000" cy="381000"/>
    <xdr:pic>
      <xdr:nvPicPr>
        <xdr:cNvPr id="144" name="image244.png">
          <a:extLst>
            <a:ext uri="{FF2B5EF4-FFF2-40B4-BE49-F238E27FC236}">
              <a16:creationId xmlns:a16="http://schemas.microsoft.com/office/drawing/2014/main" id="{00000000-0008-0000-1600-00009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36</xdr:row>
      <xdr:rowOff>0</xdr:rowOff>
    </xdr:from>
    <xdr:ext cx="381000" cy="381000"/>
    <xdr:pic>
      <xdr:nvPicPr>
        <xdr:cNvPr id="145" name="image126.png">
          <a:extLst>
            <a:ext uri="{FF2B5EF4-FFF2-40B4-BE49-F238E27FC236}">
              <a16:creationId xmlns:a16="http://schemas.microsoft.com/office/drawing/2014/main" id="{00000000-0008-0000-1600-000091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37</xdr:row>
      <xdr:rowOff>0</xdr:rowOff>
    </xdr:from>
    <xdr:ext cx="381000" cy="381000"/>
    <xdr:pic>
      <xdr:nvPicPr>
        <xdr:cNvPr id="146" name="image275.png">
          <a:extLst>
            <a:ext uri="{FF2B5EF4-FFF2-40B4-BE49-F238E27FC236}">
              <a16:creationId xmlns:a16="http://schemas.microsoft.com/office/drawing/2014/main" id="{00000000-0008-0000-1600-00009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37</xdr:row>
      <xdr:rowOff>0</xdr:rowOff>
    </xdr:from>
    <xdr:ext cx="381000" cy="381000"/>
    <xdr:pic>
      <xdr:nvPicPr>
        <xdr:cNvPr id="147" name="image272.png">
          <a:extLst>
            <a:ext uri="{FF2B5EF4-FFF2-40B4-BE49-F238E27FC236}">
              <a16:creationId xmlns:a16="http://schemas.microsoft.com/office/drawing/2014/main" id="{00000000-0008-0000-1600-00009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37</xdr:row>
      <xdr:rowOff>0</xdr:rowOff>
    </xdr:from>
    <xdr:ext cx="381000" cy="381000"/>
    <xdr:pic>
      <xdr:nvPicPr>
        <xdr:cNvPr id="148" name="image244.png">
          <a:extLst>
            <a:ext uri="{FF2B5EF4-FFF2-40B4-BE49-F238E27FC236}">
              <a16:creationId xmlns:a16="http://schemas.microsoft.com/office/drawing/2014/main" id="{00000000-0008-0000-1600-00009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37</xdr:row>
      <xdr:rowOff>0</xdr:rowOff>
    </xdr:from>
    <xdr:ext cx="381000" cy="381000"/>
    <xdr:pic>
      <xdr:nvPicPr>
        <xdr:cNvPr id="149" name="image126.png">
          <a:extLst>
            <a:ext uri="{FF2B5EF4-FFF2-40B4-BE49-F238E27FC236}">
              <a16:creationId xmlns:a16="http://schemas.microsoft.com/office/drawing/2014/main" id="{00000000-0008-0000-1600-00009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38</xdr:row>
      <xdr:rowOff>0</xdr:rowOff>
    </xdr:from>
    <xdr:ext cx="381000" cy="381000"/>
    <xdr:pic>
      <xdr:nvPicPr>
        <xdr:cNvPr id="150" name="image275.png">
          <a:extLst>
            <a:ext uri="{FF2B5EF4-FFF2-40B4-BE49-F238E27FC236}">
              <a16:creationId xmlns:a16="http://schemas.microsoft.com/office/drawing/2014/main" id="{00000000-0008-0000-1600-00009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38</xdr:row>
      <xdr:rowOff>0</xdr:rowOff>
    </xdr:from>
    <xdr:ext cx="381000" cy="381000"/>
    <xdr:pic>
      <xdr:nvPicPr>
        <xdr:cNvPr id="151" name="image272.png">
          <a:extLst>
            <a:ext uri="{FF2B5EF4-FFF2-40B4-BE49-F238E27FC236}">
              <a16:creationId xmlns:a16="http://schemas.microsoft.com/office/drawing/2014/main" id="{00000000-0008-0000-1600-00009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38</xdr:row>
      <xdr:rowOff>0</xdr:rowOff>
    </xdr:from>
    <xdr:ext cx="381000" cy="381000"/>
    <xdr:pic>
      <xdr:nvPicPr>
        <xdr:cNvPr id="152" name="image244.png">
          <a:extLst>
            <a:ext uri="{FF2B5EF4-FFF2-40B4-BE49-F238E27FC236}">
              <a16:creationId xmlns:a16="http://schemas.microsoft.com/office/drawing/2014/main" id="{00000000-0008-0000-1600-00009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38</xdr:row>
      <xdr:rowOff>0</xdr:rowOff>
    </xdr:from>
    <xdr:ext cx="381000" cy="381000"/>
    <xdr:pic>
      <xdr:nvPicPr>
        <xdr:cNvPr id="153" name="image126.png">
          <a:extLst>
            <a:ext uri="{FF2B5EF4-FFF2-40B4-BE49-F238E27FC236}">
              <a16:creationId xmlns:a16="http://schemas.microsoft.com/office/drawing/2014/main" id="{00000000-0008-0000-1600-00009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39</xdr:row>
      <xdr:rowOff>0</xdr:rowOff>
    </xdr:from>
    <xdr:ext cx="381000" cy="381000"/>
    <xdr:pic>
      <xdr:nvPicPr>
        <xdr:cNvPr id="154" name="image275.png">
          <a:extLst>
            <a:ext uri="{FF2B5EF4-FFF2-40B4-BE49-F238E27FC236}">
              <a16:creationId xmlns:a16="http://schemas.microsoft.com/office/drawing/2014/main" id="{00000000-0008-0000-1600-00009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39</xdr:row>
      <xdr:rowOff>0</xdr:rowOff>
    </xdr:from>
    <xdr:ext cx="381000" cy="381000"/>
    <xdr:pic>
      <xdr:nvPicPr>
        <xdr:cNvPr id="155" name="image272.png">
          <a:extLst>
            <a:ext uri="{FF2B5EF4-FFF2-40B4-BE49-F238E27FC236}">
              <a16:creationId xmlns:a16="http://schemas.microsoft.com/office/drawing/2014/main" id="{00000000-0008-0000-1600-00009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39</xdr:row>
      <xdr:rowOff>0</xdr:rowOff>
    </xdr:from>
    <xdr:ext cx="381000" cy="381000"/>
    <xdr:pic>
      <xdr:nvPicPr>
        <xdr:cNvPr id="156" name="image244.png">
          <a:extLst>
            <a:ext uri="{FF2B5EF4-FFF2-40B4-BE49-F238E27FC236}">
              <a16:creationId xmlns:a16="http://schemas.microsoft.com/office/drawing/2014/main" id="{00000000-0008-0000-1600-00009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39</xdr:row>
      <xdr:rowOff>0</xdr:rowOff>
    </xdr:from>
    <xdr:ext cx="381000" cy="381000"/>
    <xdr:pic>
      <xdr:nvPicPr>
        <xdr:cNvPr id="157" name="image126.png">
          <a:extLst>
            <a:ext uri="{FF2B5EF4-FFF2-40B4-BE49-F238E27FC236}">
              <a16:creationId xmlns:a16="http://schemas.microsoft.com/office/drawing/2014/main" id="{00000000-0008-0000-1600-00009D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40</xdr:row>
      <xdr:rowOff>0</xdr:rowOff>
    </xdr:from>
    <xdr:ext cx="381000" cy="381000"/>
    <xdr:pic>
      <xdr:nvPicPr>
        <xdr:cNvPr id="158" name="image275.png">
          <a:extLst>
            <a:ext uri="{FF2B5EF4-FFF2-40B4-BE49-F238E27FC236}">
              <a16:creationId xmlns:a16="http://schemas.microsoft.com/office/drawing/2014/main" id="{00000000-0008-0000-1600-00009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40</xdr:row>
      <xdr:rowOff>0</xdr:rowOff>
    </xdr:from>
    <xdr:ext cx="381000" cy="381000"/>
    <xdr:pic>
      <xdr:nvPicPr>
        <xdr:cNvPr id="159" name="image272.png">
          <a:extLst>
            <a:ext uri="{FF2B5EF4-FFF2-40B4-BE49-F238E27FC236}">
              <a16:creationId xmlns:a16="http://schemas.microsoft.com/office/drawing/2014/main" id="{00000000-0008-0000-1600-00009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40</xdr:row>
      <xdr:rowOff>0</xdr:rowOff>
    </xdr:from>
    <xdr:ext cx="381000" cy="381000"/>
    <xdr:pic>
      <xdr:nvPicPr>
        <xdr:cNvPr id="160" name="image244.png">
          <a:extLst>
            <a:ext uri="{FF2B5EF4-FFF2-40B4-BE49-F238E27FC236}">
              <a16:creationId xmlns:a16="http://schemas.microsoft.com/office/drawing/2014/main" id="{00000000-0008-0000-1600-0000A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40</xdr:row>
      <xdr:rowOff>0</xdr:rowOff>
    </xdr:from>
    <xdr:ext cx="381000" cy="381000"/>
    <xdr:pic>
      <xdr:nvPicPr>
        <xdr:cNvPr id="161" name="image126.png">
          <a:extLst>
            <a:ext uri="{FF2B5EF4-FFF2-40B4-BE49-F238E27FC236}">
              <a16:creationId xmlns:a16="http://schemas.microsoft.com/office/drawing/2014/main" id="{00000000-0008-0000-1600-0000A1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41</xdr:row>
      <xdr:rowOff>0</xdr:rowOff>
    </xdr:from>
    <xdr:ext cx="381000" cy="381000"/>
    <xdr:pic>
      <xdr:nvPicPr>
        <xdr:cNvPr id="162" name="image275.png">
          <a:extLst>
            <a:ext uri="{FF2B5EF4-FFF2-40B4-BE49-F238E27FC236}">
              <a16:creationId xmlns:a16="http://schemas.microsoft.com/office/drawing/2014/main" id="{00000000-0008-0000-1600-0000A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41</xdr:row>
      <xdr:rowOff>0</xdr:rowOff>
    </xdr:from>
    <xdr:ext cx="381000" cy="381000"/>
    <xdr:pic>
      <xdr:nvPicPr>
        <xdr:cNvPr id="163" name="image272.png">
          <a:extLst>
            <a:ext uri="{FF2B5EF4-FFF2-40B4-BE49-F238E27FC236}">
              <a16:creationId xmlns:a16="http://schemas.microsoft.com/office/drawing/2014/main" id="{00000000-0008-0000-1600-0000A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41</xdr:row>
      <xdr:rowOff>0</xdr:rowOff>
    </xdr:from>
    <xdr:ext cx="381000" cy="381000"/>
    <xdr:pic>
      <xdr:nvPicPr>
        <xdr:cNvPr id="164" name="image244.png">
          <a:extLst>
            <a:ext uri="{FF2B5EF4-FFF2-40B4-BE49-F238E27FC236}">
              <a16:creationId xmlns:a16="http://schemas.microsoft.com/office/drawing/2014/main" id="{00000000-0008-0000-1600-0000A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41</xdr:row>
      <xdr:rowOff>0</xdr:rowOff>
    </xdr:from>
    <xdr:ext cx="381000" cy="381000"/>
    <xdr:pic>
      <xdr:nvPicPr>
        <xdr:cNvPr id="165" name="image126.png">
          <a:extLst>
            <a:ext uri="{FF2B5EF4-FFF2-40B4-BE49-F238E27FC236}">
              <a16:creationId xmlns:a16="http://schemas.microsoft.com/office/drawing/2014/main" id="{00000000-0008-0000-1600-0000A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42</xdr:row>
      <xdr:rowOff>0</xdr:rowOff>
    </xdr:from>
    <xdr:ext cx="381000" cy="381000"/>
    <xdr:pic>
      <xdr:nvPicPr>
        <xdr:cNvPr id="166" name="image275.png">
          <a:extLst>
            <a:ext uri="{FF2B5EF4-FFF2-40B4-BE49-F238E27FC236}">
              <a16:creationId xmlns:a16="http://schemas.microsoft.com/office/drawing/2014/main" id="{00000000-0008-0000-1600-0000A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42</xdr:row>
      <xdr:rowOff>0</xdr:rowOff>
    </xdr:from>
    <xdr:ext cx="381000" cy="381000"/>
    <xdr:pic>
      <xdr:nvPicPr>
        <xdr:cNvPr id="167" name="image272.png">
          <a:extLst>
            <a:ext uri="{FF2B5EF4-FFF2-40B4-BE49-F238E27FC236}">
              <a16:creationId xmlns:a16="http://schemas.microsoft.com/office/drawing/2014/main" id="{00000000-0008-0000-1600-0000A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42</xdr:row>
      <xdr:rowOff>0</xdr:rowOff>
    </xdr:from>
    <xdr:ext cx="381000" cy="381000"/>
    <xdr:pic>
      <xdr:nvPicPr>
        <xdr:cNvPr id="168" name="image244.png">
          <a:extLst>
            <a:ext uri="{FF2B5EF4-FFF2-40B4-BE49-F238E27FC236}">
              <a16:creationId xmlns:a16="http://schemas.microsoft.com/office/drawing/2014/main" id="{00000000-0008-0000-1600-0000A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42</xdr:row>
      <xdr:rowOff>0</xdr:rowOff>
    </xdr:from>
    <xdr:ext cx="381000" cy="381000"/>
    <xdr:pic>
      <xdr:nvPicPr>
        <xdr:cNvPr id="169" name="image126.png">
          <a:extLst>
            <a:ext uri="{FF2B5EF4-FFF2-40B4-BE49-F238E27FC236}">
              <a16:creationId xmlns:a16="http://schemas.microsoft.com/office/drawing/2014/main" id="{00000000-0008-0000-1600-0000A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43</xdr:row>
      <xdr:rowOff>0</xdr:rowOff>
    </xdr:from>
    <xdr:ext cx="381000" cy="381000"/>
    <xdr:pic>
      <xdr:nvPicPr>
        <xdr:cNvPr id="170" name="image275.png">
          <a:extLst>
            <a:ext uri="{FF2B5EF4-FFF2-40B4-BE49-F238E27FC236}">
              <a16:creationId xmlns:a16="http://schemas.microsoft.com/office/drawing/2014/main" id="{00000000-0008-0000-1600-0000A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43</xdr:row>
      <xdr:rowOff>0</xdr:rowOff>
    </xdr:from>
    <xdr:ext cx="381000" cy="381000"/>
    <xdr:pic>
      <xdr:nvPicPr>
        <xdr:cNvPr id="171" name="image272.png">
          <a:extLst>
            <a:ext uri="{FF2B5EF4-FFF2-40B4-BE49-F238E27FC236}">
              <a16:creationId xmlns:a16="http://schemas.microsoft.com/office/drawing/2014/main" id="{00000000-0008-0000-1600-0000A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43</xdr:row>
      <xdr:rowOff>0</xdr:rowOff>
    </xdr:from>
    <xdr:ext cx="381000" cy="381000"/>
    <xdr:pic>
      <xdr:nvPicPr>
        <xdr:cNvPr id="172" name="image244.png">
          <a:extLst>
            <a:ext uri="{FF2B5EF4-FFF2-40B4-BE49-F238E27FC236}">
              <a16:creationId xmlns:a16="http://schemas.microsoft.com/office/drawing/2014/main" id="{00000000-0008-0000-1600-0000A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43</xdr:row>
      <xdr:rowOff>0</xdr:rowOff>
    </xdr:from>
    <xdr:ext cx="381000" cy="381000"/>
    <xdr:pic>
      <xdr:nvPicPr>
        <xdr:cNvPr id="173" name="image126.png">
          <a:extLst>
            <a:ext uri="{FF2B5EF4-FFF2-40B4-BE49-F238E27FC236}">
              <a16:creationId xmlns:a16="http://schemas.microsoft.com/office/drawing/2014/main" id="{00000000-0008-0000-1600-0000AD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44</xdr:row>
      <xdr:rowOff>0</xdr:rowOff>
    </xdr:from>
    <xdr:ext cx="381000" cy="381000"/>
    <xdr:pic>
      <xdr:nvPicPr>
        <xdr:cNvPr id="174" name="image275.png">
          <a:extLst>
            <a:ext uri="{FF2B5EF4-FFF2-40B4-BE49-F238E27FC236}">
              <a16:creationId xmlns:a16="http://schemas.microsoft.com/office/drawing/2014/main" id="{00000000-0008-0000-1600-0000A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44</xdr:row>
      <xdr:rowOff>0</xdr:rowOff>
    </xdr:from>
    <xdr:ext cx="381000" cy="381000"/>
    <xdr:pic>
      <xdr:nvPicPr>
        <xdr:cNvPr id="175" name="image272.png">
          <a:extLst>
            <a:ext uri="{FF2B5EF4-FFF2-40B4-BE49-F238E27FC236}">
              <a16:creationId xmlns:a16="http://schemas.microsoft.com/office/drawing/2014/main" id="{00000000-0008-0000-1600-0000A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44</xdr:row>
      <xdr:rowOff>0</xdr:rowOff>
    </xdr:from>
    <xdr:ext cx="381000" cy="381000"/>
    <xdr:pic>
      <xdr:nvPicPr>
        <xdr:cNvPr id="176" name="image244.png">
          <a:extLst>
            <a:ext uri="{FF2B5EF4-FFF2-40B4-BE49-F238E27FC236}">
              <a16:creationId xmlns:a16="http://schemas.microsoft.com/office/drawing/2014/main" id="{00000000-0008-0000-1600-0000B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44</xdr:row>
      <xdr:rowOff>0</xdr:rowOff>
    </xdr:from>
    <xdr:ext cx="381000" cy="381000"/>
    <xdr:pic>
      <xdr:nvPicPr>
        <xdr:cNvPr id="177" name="image126.png">
          <a:extLst>
            <a:ext uri="{FF2B5EF4-FFF2-40B4-BE49-F238E27FC236}">
              <a16:creationId xmlns:a16="http://schemas.microsoft.com/office/drawing/2014/main" id="{00000000-0008-0000-1600-0000B1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45</xdr:row>
      <xdr:rowOff>0</xdr:rowOff>
    </xdr:from>
    <xdr:ext cx="381000" cy="381000"/>
    <xdr:pic>
      <xdr:nvPicPr>
        <xdr:cNvPr id="178" name="image275.png">
          <a:extLst>
            <a:ext uri="{FF2B5EF4-FFF2-40B4-BE49-F238E27FC236}">
              <a16:creationId xmlns:a16="http://schemas.microsoft.com/office/drawing/2014/main" id="{00000000-0008-0000-1600-0000B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45</xdr:row>
      <xdr:rowOff>0</xdr:rowOff>
    </xdr:from>
    <xdr:ext cx="381000" cy="381000"/>
    <xdr:pic>
      <xdr:nvPicPr>
        <xdr:cNvPr id="179" name="image272.png">
          <a:extLst>
            <a:ext uri="{FF2B5EF4-FFF2-40B4-BE49-F238E27FC236}">
              <a16:creationId xmlns:a16="http://schemas.microsoft.com/office/drawing/2014/main" id="{00000000-0008-0000-1600-0000B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45</xdr:row>
      <xdr:rowOff>0</xdr:rowOff>
    </xdr:from>
    <xdr:ext cx="381000" cy="381000"/>
    <xdr:pic>
      <xdr:nvPicPr>
        <xdr:cNvPr id="180" name="image244.png">
          <a:extLst>
            <a:ext uri="{FF2B5EF4-FFF2-40B4-BE49-F238E27FC236}">
              <a16:creationId xmlns:a16="http://schemas.microsoft.com/office/drawing/2014/main" id="{00000000-0008-0000-1600-0000B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45</xdr:row>
      <xdr:rowOff>0</xdr:rowOff>
    </xdr:from>
    <xdr:ext cx="381000" cy="381000"/>
    <xdr:pic>
      <xdr:nvPicPr>
        <xdr:cNvPr id="181" name="image126.png">
          <a:extLst>
            <a:ext uri="{FF2B5EF4-FFF2-40B4-BE49-F238E27FC236}">
              <a16:creationId xmlns:a16="http://schemas.microsoft.com/office/drawing/2014/main" id="{00000000-0008-0000-1600-0000B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46</xdr:row>
      <xdr:rowOff>0</xdr:rowOff>
    </xdr:from>
    <xdr:ext cx="381000" cy="381000"/>
    <xdr:pic>
      <xdr:nvPicPr>
        <xdr:cNvPr id="182" name="image275.png">
          <a:extLst>
            <a:ext uri="{FF2B5EF4-FFF2-40B4-BE49-F238E27FC236}">
              <a16:creationId xmlns:a16="http://schemas.microsoft.com/office/drawing/2014/main" id="{00000000-0008-0000-1600-0000B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46</xdr:row>
      <xdr:rowOff>0</xdr:rowOff>
    </xdr:from>
    <xdr:ext cx="381000" cy="381000"/>
    <xdr:pic>
      <xdr:nvPicPr>
        <xdr:cNvPr id="183" name="image272.png">
          <a:extLst>
            <a:ext uri="{FF2B5EF4-FFF2-40B4-BE49-F238E27FC236}">
              <a16:creationId xmlns:a16="http://schemas.microsoft.com/office/drawing/2014/main" id="{00000000-0008-0000-1600-0000B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46</xdr:row>
      <xdr:rowOff>0</xdr:rowOff>
    </xdr:from>
    <xdr:ext cx="381000" cy="381000"/>
    <xdr:pic>
      <xdr:nvPicPr>
        <xdr:cNvPr id="184" name="image244.png">
          <a:extLst>
            <a:ext uri="{FF2B5EF4-FFF2-40B4-BE49-F238E27FC236}">
              <a16:creationId xmlns:a16="http://schemas.microsoft.com/office/drawing/2014/main" id="{00000000-0008-0000-1600-0000B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46</xdr:row>
      <xdr:rowOff>0</xdr:rowOff>
    </xdr:from>
    <xdr:ext cx="381000" cy="381000"/>
    <xdr:pic>
      <xdr:nvPicPr>
        <xdr:cNvPr id="185" name="image126.png">
          <a:extLst>
            <a:ext uri="{FF2B5EF4-FFF2-40B4-BE49-F238E27FC236}">
              <a16:creationId xmlns:a16="http://schemas.microsoft.com/office/drawing/2014/main" id="{00000000-0008-0000-1600-0000B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47</xdr:row>
      <xdr:rowOff>0</xdr:rowOff>
    </xdr:from>
    <xdr:ext cx="381000" cy="381000"/>
    <xdr:pic>
      <xdr:nvPicPr>
        <xdr:cNvPr id="186" name="image280.png">
          <a:extLst>
            <a:ext uri="{FF2B5EF4-FFF2-40B4-BE49-F238E27FC236}">
              <a16:creationId xmlns:a16="http://schemas.microsoft.com/office/drawing/2014/main" id="{00000000-0008-0000-1600-0000B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47</xdr:row>
      <xdr:rowOff>0</xdr:rowOff>
    </xdr:from>
    <xdr:ext cx="381000" cy="381000"/>
    <xdr:pic>
      <xdr:nvPicPr>
        <xdr:cNvPr id="187" name="image272.png">
          <a:extLst>
            <a:ext uri="{FF2B5EF4-FFF2-40B4-BE49-F238E27FC236}">
              <a16:creationId xmlns:a16="http://schemas.microsoft.com/office/drawing/2014/main" id="{00000000-0008-0000-1600-0000B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47</xdr:row>
      <xdr:rowOff>0</xdr:rowOff>
    </xdr:from>
    <xdr:ext cx="381000" cy="381000"/>
    <xdr:pic>
      <xdr:nvPicPr>
        <xdr:cNvPr id="188" name="image244.png">
          <a:extLst>
            <a:ext uri="{FF2B5EF4-FFF2-40B4-BE49-F238E27FC236}">
              <a16:creationId xmlns:a16="http://schemas.microsoft.com/office/drawing/2014/main" id="{00000000-0008-0000-1600-0000B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47</xdr:row>
      <xdr:rowOff>0</xdr:rowOff>
    </xdr:from>
    <xdr:ext cx="381000" cy="381000"/>
    <xdr:pic>
      <xdr:nvPicPr>
        <xdr:cNvPr id="189" name="image126.png">
          <a:extLst>
            <a:ext uri="{FF2B5EF4-FFF2-40B4-BE49-F238E27FC236}">
              <a16:creationId xmlns:a16="http://schemas.microsoft.com/office/drawing/2014/main" id="{00000000-0008-0000-1600-0000BD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48</xdr:row>
      <xdr:rowOff>0</xdr:rowOff>
    </xdr:from>
    <xdr:ext cx="381000" cy="381000"/>
    <xdr:pic>
      <xdr:nvPicPr>
        <xdr:cNvPr id="190" name="image280.png">
          <a:extLst>
            <a:ext uri="{FF2B5EF4-FFF2-40B4-BE49-F238E27FC236}">
              <a16:creationId xmlns:a16="http://schemas.microsoft.com/office/drawing/2014/main" id="{00000000-0008-0000-1600-0000B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48</xdr:row>
      <xdr:rowOff>0</xdr:rowOff>
    </xdr:from>
    <xdr:ext cx="381000" cy="381000"/>
    <xdr:pic>
      <xdr:nvPicPr>
        <xdr:cNvPr id="191" name="image272.png">
          <a:extLst>
            <a:ext uri="{FF2B5EF4-FFF2-40B4-BE49-F238E27FC236}">
              <a16:creationId xmlns:a16="http://schemas.microsoft.com/office/drawing/2014/main" id="{00000000-0008-0000-1600-0000B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48</xdr:row>
      <xdr:rowOff>0</xdr:rowOff>
    </xdr:from>
    <xdr:ext cx="381000" cy="381000"/>
    <xdr:pic>
      <xdr:nvPicPr>
        <xdr:cNvPr id="192" name="image244.png">
          <a:extLst>
            <a:ext uri="{FF2B5EF4-FFF2-40B4-BE49-F238E27FC236}">
              <a16:creationId xmlns:a16="http://schemas.microsoft.com/office/drawing/2014/main" id="{00000000-0008-0000-1600-0000C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48</xdr:row>
      <xdr:rowOff>0</xdr:rowOff>
    </xdr:from>
    <xdr:ext cx="381000" cy="381000"/>
    <xdr:pic>
      <xdr:nvPicPr>
        <xdr:cNvPr id="193" name="image126.png">
          <a:extLst>
            <a:ext uri="{FF2B5EF4-FFF2-40B4-BE49-F238E27FC236}">
              <a16:creationId xmlns:a16="http://schemas.microsoft.com/office/drawing/2014/main" id="{00000000-0008-0000-1600-0000C1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49</xdr:row>
      <xdr:rowOff>0</xdr:rowOff>
    </xdr:from>
    <xdr:ext cx="381000" cy="381000"/>
    <xdr:pic>
      <xdr:nvPicPr>
        <xdr:cNvPr id="194" name="image280.png">
          <a:extLst>
            <a:ext uri="{FF2B5EF4-FFF2-40B4-BE49-F238E27FC236}">
              <a16:creationId xmlns:a16="http://schemas.microsoft.com/office/drawing/2014/main" id="{00000000-0008-0000-1600-0000C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49</xdr:row>
      <xdr:rowOff>0</xdr:rowOff>
    </xdr:from>
    <xdr:ext cx="381000" cy="381000"/>
    <xdr:pic>
      <xdr:nvPicPr>
        <xdr:cNvPr id="195" name="image272.png">
          <a:extLst>
            <a:ext uri="{FF2B5EF4-FFF2-40B4-BE49-F238E27FC236}">
              <a16:creationId xmlns:a16="http://schemas.microsoft.com/office/drawing/2014/main" id="{00000000-0008-0000-1600-0000C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49</xdr:row>
      <xdr:rowOff>0</xdr:rowOff>
    </xdr:from>
    <xdr:ext cx="381000" cy="381000"/>
    <xdr:pic>
      <xdr:nvPicPr>
        <xdr:cNvPr id="196" name="image244.png">
          <a:extLst>
            <a:ext uri="{FF2B5EF4-FFF2-40B4-BE49-F238E27FC236}">
              <a16:creationId xmlns:a16="http://schemas.microsoft.com/office/drawing/2014/main" id="{00000000-0008-0000-1600-0000C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49</xdr:row>
      <xdr:rowOff>0</xdr:rowOff>
    </xdr:from>
    <xdr:ext cx="381000" cy="381000"/>
    <xdr:pic>
      <xdr:nvPicPr>
        <xdr:cNvPr id="197" name="image126.png">
          <a:extLst>
            <a:ext uri="{FF2B5EF4-FFF2-40B4-BE49-F238E27FC236}">
              <a16:creationId xmlns:a16="http://schemas.microsoft.com/office/drawing/2014/main" id="{00000000-0008-0000-1600-0000C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50</xdr:row>
      <xdr:rowOff>0</xdr:rowOff>
    </xdr:from>
    <xdr:ext cx="381000" cy="381000"/>
    <xdr:pic>
      <xdr:nvPicPr>
        <xdr:cNvPr id="198" name="image280.png">
          <a:extLst>
            <a:ext uri="{FF2B5EF4-FFF2-40B4-BE49-F238E27FC236}">
              <a16:creationId xmlns:a16="http://schemas.microsoft.com/office/drawing/2014/main" id="{00000000-0008-0000-1600-0000C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50</xdr:row>
      <xdr:rowOff>0</xdr:rowOff>
    </xdr:from>
    <xdr:ext cx="381000" cy="381000"/>
    <xdr:pic>
      <xdr:nvPicPr>
        <xdr:cNvPr id="199" name="image272.png">
          <a:extLst>
            <a:ext uri="{FF2B5EF4-FFF2-40B4-BE49-F238E27FC236}">
              <a16:creationId xmlns:a16="http://schemas.microsoft.com/office/drawing/2014/main" id="{00000000-0008-0000-1600-0000C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50</xdr:row>
      <xdr:rowOff>0</xdr:rowOff>
    </xdr:from>
    <xdr:ext cx="381000" cy="381000"/>
    <xdr:pic>
      <xdr:nvPicPr>
        <xdr:cNvPr id="200" name="image244.png">
          <a:extLst>
            <a:ext uri="{FF2B5EF4-FFF2-40B4-BE49-F238E27FC236}">
              <a16:creationId xmlns:a16="http://schemas.microsoft.com/office/drawing/2014/main" id="{00000000-0008-0000-1600-0000C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50</xdr:row>
      <xdr:rowOff>0</xdr:rowOff>
    </xdr:from>
    <xdr:ext cx="381000" cy="381000"/>
    <xdr:pic>
      <xdr:nvPicPr>
        <xdr:cNvPr id="201" name="image126.png">
          <a:extLst>
            <a:ext uri="{FF2B5EF4-FFF2-40B4-BE49-F238E27FC236}">
              <a16:creationId xmlns:a16="http://schemas.microsoft.com/office/drawing/2014/main" id="{00000000-0008-0000-1600-0000C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51</xdr:row>
      <xdr:rowOff>0</xdr:rowOff>
    </xdr:from>
    <xdr:ext cx="381000" cy="381000"/>
    <xdr:pic>
      <xdr:nvPicPr>
        <xdr:cNvPr id="202" name="image280.png">
          <a:extLst>
            <a:ext uri="{FF2B5EF4-FFF2-40B4-BE49-F238E27FC236}">
              <a16:creationId xmlns:a16="http://schemas.microsoft.com/office/drawing/2014/main" id="{00000000-0008-0000-1600-0000C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51</xdr:row>
      <xdr:rowOff>0</xdr:rowOff>
    </xdr:from>
    <xdr:ext cx="381000" cy="381000"/>
    <xdr:pic>
      <xdr:nvPicPr>
        <xdr:cNvPr id="203" name="image272.png">
          <a:extLst>
            <a:ext uri="{FF2B5EF4-FFF2-40B4-BE49-F238E27FC236}">
              <a16:creationId xmlns:a16="http://schemas.microsoft.com/office/drawing/2014/main" id="{00000000-0008-0000-1600-0000C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51</xdr:row>
      <xdr:rowOff>0</xdr:rowOff>
    </xdr:from>
    <xdr:ext cx="381000" cy="381000"/>
    <xdr:pic>
      <xdr:nvPicPr>
        <xdr:cNvPr id="204" name="image244.png">
          <a:extLst>
            <a:ext uri="{FF2B5EF4-FFF2-40B4-BE49-F238E27FC236}">
              <a16:creationId xmlns:a16="http://schemas.microsoft.com/office/drawing/2014/main" id="{00000000-0008-0000-1600-0000C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51</xdr:row>
      <xdr:rowOff>0</xdr:rowOff>
    </xdr:from>
    <xdr:ext cx="381000" cy="381000"/>
    <xdr:pic>
      <xdr:nvPicPr>
        <xdr:cNvPr id="205" name="image126.png">
          <a:extLst>
            <a:ext uri="{FF2B5EF4-FFF2-40B4-BE49-F238E27FC236}">
              <a16:creationId xmlns:a16="http://schemas.microsoft.com/office/drawing/2014/main" id="{00000000-0008-0000-1600-0000CD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52</xdr:row>
      <xdr:rowOff>0</xdr:rowOff>
    </xdr:from>
    <xdr:ext cx="381000" cy="381000"/>
    <xdr:pic>
      <xdr:nvPicPr>
        <xdr:cNvPr id="206" name="image280.png">
          <a:extLst>
            <a:ext uri="{FF2B5EF4-FFF2-40B4-BE49-F238E27FC236}">
              <a16:creationId xmlns:a16="http://schemas.microsoft.com/office/drawing/2014/main" id="{00000000-0008-0000-1600-0000C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52</xdr:row>
      <xdr:rowOff>0</xdr:rowOff>
    </xdr:from>
    <xdr:ext cx="381000" cy="381000"/>
    <xdr:pic>
      <xdr:nvPicPr>
        <xdr:cNvPr id="207" name="image272.png">
          <a:extLst>
            <a:ext uri="{FF2B5EF4-FFF2-40B4-BE49-F238E27FC236}">
              <a16:creationId xmlns:a16="http://schemas.microsoft.com/office/drawing/2014/main" id="{00000000-0008-0000-1600-0000C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52</xdr:row>
      <xdr:rowOff>0</xdr:rowOff>
    </xdr:from>
    <xdr:ext cx="381000" cy="381000"/>
    <xdr:pic>
      <xdr:nvPicPr>
        <xdr:cNvPr id="208" name="image244.png">
          <a:extLst>
            <a:ext uri="{FF2B5EF4-FFF2-40B4-BE49-F238E27FC236}">
              <a16:creationId xmlns:a16="http://schemas.microsoft.com/office/drawing/2014/main" id="{00000000-0008-0000-1600-0000D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52</xdr:row>
      <xdr:rowOff>0</xdr:rowOff>
    </xdr:from>
    <xdr:ext cx="381000" cy="381000"/>
    <xdr:pic>
      <xdr:nvPicPr>
        <xdr:cNvPr id="209" name="image126.png">
          <a:extLst>
            <a:ext uri="{FF2B5EF4-FFF2-40B4-BE49-F238E27FC236}">
              <a16:creationId xmlns:a16="http://schemas.microsoft.com/office/drawing/2014/main" id="{00000000-0008-0000-1600-0000D1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53</xdr:row>
      <xdr:rowOff>0</xdr:rowOff>
    </xdr:from>
    <xdr:ext cx="381000" cy="381000"/>
    <xdr:pic>
      <xdr:nvPicPr>
        <xdr:cNvPr id="210" name="image280.png">
          <a:extLst>
            <a:ext uri="{FF2B5EF4-FFF2-40B4-BE49-F238E27FC236}">
              <a16:creationId xmlns:a16="http://schemas.microsoft.com/office/drawing/2014/main" id="{00000000-0008-0000-1600-0000D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53</xdr:row>
      <xdr:rowOff>0</xdr:rowOff>
    </xdr:from>
    <xdr:ext cx="381000" cy="381000"/>
    <xdr:pic>
      <xdr:nvPicPr>
        <xdr:cNvPr id="211" name="image272.png">
          <a:extLst>
            <a:ext uri="{FF2B5EF4-FFF2-40B4-BE49-F238E27FC236}">
              <a16:creationId xmlns:a16="http://schemas.microsoft.com/office/drawing/2014/main" id="{00000000-0008-0000-1600-0000D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53</xdr:row>
      <xdr:rowOff>0</xdr:rowOff>
    </xdr:from>
    <xdr:ext cx="381000" cy="381000"/>
    <xdr:pic>
      <xdr:nvPicPr>
        <xdr:cNvPr id="212" name="image244.png">
          <a:extLst>
            <a:ext uri="{FF2B5EF4-FFF2-40B4-BE49-F238E27FC236}">
              <a16:creationId xmlns:a16="http://schemas.microsoft.com/office/drawing/2014/main" id="{00000000-0008-0000-1600-0000D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53</xdr:row>
      <xdr:rowOff>0</xdr:rowOff>
    </xdr:from>
    <xdr:ext cx="381000" cy="381000"/>
    <xdr:pic>
      <xdr:nvPicPr>
        <xdr:cNvPr id="213" name="image126.png">
          <a:extLst>
            <a:ext uri="{FF2B5EF4-FFF2-40B4-BE49-F238E27FC236}">
              <a16:creationId xmlns:a16="http://schemas.microsoft.com/office/drawing/2014/main" id="{00000000-0008-0000-1600-0000D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54</xdr:row>
      <xdr:rowOff>0</xdr:rowOff>
    </xdr:from>
    <xdr:ext cx="381000" cy="381000"/>
    <xdr:pic>
      <xdr:nvPicPr>
        <xdr:cNvPr id="214" name="image280.png">
          <a:extLst>
            <a:ext uri="{FF2B5EF4-FFF2-40B4-BE49-F238E27FC236}">
              <a16:creationId xmlns:a16="http://schemas.microsoft.com/office/drawing/2014/main" id="{00000000-0008-0000-1600-0000D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54</xdr:row>
      <xdr:rowOff>0</xdr:rowOff>
    </xdr:from>
    <xdr:ext cx="381000" cy="381000"/>
    <xdr:pic>
      <xdr:nvPicPr>
        <xdr:cNvPr id="215" name="image272.png">
          <a:extLst>
            <a:ext uri="{FF2B5EF4-FFF2-40B4-BE49-F238E27FC236}">
              <a16:creationId xmlns:a16="http://schemas.microsoft.com/office/drawing/2014/main" id="{00000000-0008-0000-1600-0000D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54</xdr:row>
      <xdr:rowOff>0</xdr:rowOff>
    </xdr:from>
    <xdr:ext cx="381000" cy="381000"/>
    <xdr:pic>
      <xdr:nvPicPr>
        <xdr:cNvPr id="216" name="image244.png">
          <a:extLst>
            <a:ext uri="{FF2B5EF4-FFF2-40B4-BE49-F238E27FC236}">
              <a16:creationId xmlns:a16="http://schemas.microsoft.com/office/drawing/2014/main" id="{00000000-0008-0000-1600-0000D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54</xdr:row>
      <xdr:rowOff>0</xdr:rowOff>
    </xdr:from>
    <xdr:ext cx="381000" cy="381000"/>
    <xdr:pic>
      <xdr:nvPicPr>
        <xdr:cNvPr id="217" name="image126.png">
          <a:extLst>
            <a:ext uri="{FF2B5EF4-FFF2-40B4-BE49-F238E27FC236}">
              <a16:creationId xmlns:a16="http://schemas.microsoft.com/office/drawing/2014/main" id="{00000000-0008-0000-1600-0000D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55</xdr:row>
      <xdr:rowOff>0</xdr:rowOff>
    </xdr:from>
    <xdr:ext cx="381000" cy="381000"/>
    <xdr:pic>
      <xdr:nvPicPr>
        <xdr:cNvPr id="218" name="image280.png">
          <a:extLst>
            <a:ext uri="{FF2B5EF4-FFF2-40B4-BE49-F238E27FC236}">
              <a16:creationId xmlns:a16="http://schemas.microsoft.com/office/drawing/2014/main" id="{00000000-0008-0000-1600-0000D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55</xdr:row>
      <xdr:rowOff>0</xdr:rowOff>
    </xdr:from>
    <xdr:ext cx="381000" cy="381000"/>
    <xdr:pic>
      <xdr:nvPicPr>
        <xdr:cNvPr id="219" name="image272.png">
          <a:extLst>
            <a:ext uri="{FF2B5EF4-FFF2-40B4-BE49-F238E27FC236}">
              <a16:creationId xmlns:a16="http://schemas.microsoft.com/office/drawing/2014/main" id="{00000000-0008-0000-1600-0000D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55</xdr:row>
      <xdr:rowOff>0</xdr:rowOff>
    </xdr:from>
    <xdr:ext cx="381000" cy="381000"/>
    <xdr:pic>
      <xdr:nvPicPr>
        <xdr:cNvPr id="220" name="image244.png">
          <a:extLst>
            <a:ext uri="{FF2B5EF4-FFF2-40B4-BE49-F238E27FC236}">
              <a16:creationId xmlns:a16="http://schemas.microsoft.com/office/drawing/2014/main" id="{00000000-0008-0000-1600-0000D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55</xdr:row>
      <xdr:rowOff>0</xdr:rowOff>
    </xdr:from>
    <xdr:ext cx="381000" cy="381000"/>
    <xdr:pic>
      <xdr:nvPicPr>
        <xdr:cNvPr id="221" name="image126.png">
          <a:extLst>
            <a:ext uri="{FF2B5EF4-FFF2-40B4-BE49-F238E27FC236}">
              <a16:creationId xmlns:a16="http://schemas.microsoft.com/office/drawing/2014/main" id="{00000000-0008-0000-1600-0000DD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56</xdr:row>
      <xdr:rowOff>0</xdr:rowOff>
    </xdr:from>
    <xdr:ext cx="381000" cy="381000"/>
    <xdr:pic>
      <xdr:nvPicPr>
        <xdr:cNvPr id="222" name="image280.png">
          <a:extLst>
            <a:ext uri="{FF2B5EF4-FFF2-40B4-BE49-F238E27FC236}">
              <a16:creationId xmlns:a16="http://schemas.microsoft.com/office/drawing/2014/main" id="{00000000-0008-0000-1600-0000D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56</xdr:row>
      <xdr:rowOff>0</xdr:rowOff>
    </xdr:from>
    <xdr:ext cx="381000" cy="381000"/>
    <xdr:pic>
      <xdr:nvPicPr>
        <xdr:cNvPr id="223" name="image272.png">
          <a:extLst>
            <a:ext uri="{FF2B5EF4-FFF2-40B4-BE49-F238E27FC236}">
              <a16:creationId xmlns:a16="http://schemas.microsoft.com/office/drawing/2014/main" id="{00000000-0008-0000-1600-0000D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56</xdr:row>
      <xdr:rowOff>0</xdr:rowOff>
    </xdr:from>
    <xdr:ext cx="381000" cy="381000"/>
    <xdr:pic>
      <xdr:nvPicPr>
        <xdr:cNvPr id="224" name="image244.png">
          <a:extLst>
            <a:ext uri="{FF2B5EF4-FFF2-40B4-BE49-F238E27FC236}">
              <a16:creationId xmlns:a16="http://schemas.microsoft.com/office/drawing/2014/main" id="{00000000-0008-0000-1600-0000E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56</xdr:row>
      <xdr:rowOff>0</xdr:rowOff>
    </xdr:from>
    <xdr:ext cx="381000" cy="381000"/>
    <xdr:pic>
      <xdr:nvPicPr>
        <xdr:cNvPr id="225" name="image126.png">
          <a:extLst>
            <a:ext uri="{FF2B5EF4-FFF2-40B4-BE49-F238E27FC236}">
              <a16:creationId xmlns:a16="http://schemas.microsoft.com/office/drawing/2014/main" id="{00000000-0008-0000-1600-0000E1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57</xdr:row>
      <xdr:rowOff>0</xdr:rowOff>
    </xdr:from>
    <xdr:ext cx="381000" cy="381000"/>
    <xdr:pic>
      <xdr:nvPicPr>
        <xdr:cNvPr id="226" name="image280.png">
          <a:extLst>
            <a:ext uri="{FF2B5EF4-FFF2-40B4-BE49-F238E27FC236}">
              <a16:creationId xmlns:a16="http://schemas.microsoft.com/office/drawing/2014/main" id="{00000000-0008-0000-1600-0000E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57</xdr:row>
      <xdr:rowOff>0</xdr:rowOff>
    </xdr:from>
    <xdr:ext cx="381000" cy="381000"/>
    <xdr:pic>
      <xdr:nvPicPr>
        <xdr:cNvPr id="227" name="image272.png">
          <a:extLst>
            <a:ext uri="{FF2B5EF4-FFF2-40B4-BE49-F238E27FC236}">
              <a16:creationId xmlns:a16="http://schemas.microsoft.com/office/drawing/2014/main" id="{00000000-0008-0000-1600-0000E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57</xdr:row>
      <xdr:rowOff>0</xdr:rowOff>
    </xdr:from>
    <xdr:ext cx="381000" cy="381000"/>
    <xdr:pic>
      <xdr:nvPicPr>
        <xdr:cNvPr id="228" name="image244.png">
          <a:extLst>
            <a:ext uri="{FF2B5EF4-FFF2-40B4-BE49-F238E27FC236}">
              <a16:creationId xmlns:a16="http://schemas.microsoft.com/office/drawing/2014/main" id="{00000000-0008-0000-1600-0000E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57</xdr:row>
      <xdr:rowOff>0</xdr:rowOff>
    </xdr:from>
    <xdr:ext cx="381000" cy="381000"/>
    <xdr:pic>
      <xdr:nvPicPr>
        <xdr:cNvPr id="229" name="image126.png">
          <a:extLst>
            <a:ext uri="{FF2B5EF4-FFF2-40B4-BE49-F238E27FC236}">
              <a16:creationId xmlns:a16="http://schemas.microsoft.com/office/drawing/2014/main" id="{00000000-0008-0000-1600-0000E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58</xdr:row>
      <xdr:rowOff>0</xdr:rowOff>
    </xdr:from>
    <xdr:ext cx="381000" cy="381000"/>
    <xdr:pic>
      <xdr:nvPicPr>
        <xdr:cNvPr id="230" name="image280.png">
          <a:extLst>
            <a:ext uri="{FF2B5EF4-FFF2-40B4-BE49-F238E27FC236}">
              <a16:creationId xmlns:a16="http://schemas.microsoft.com/office/drawing/2014/main" id="{00000000-0008-0000-1600-0000E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58</xdr:row>
      <xdr:rowOff>0</xdr:rowOff>
    </xdr:from>
    <xdr:ext cx="381000" cy="381000"/>
    <xdr:pic>
      <xdr:nvPicPr>
        <xdr:cNvPr id="231" name="image272.png">
          <a:extLst>
            <a:ext uri="{FF2B5EF4-FFF2-40B4-BE49-F238E27FC236}">
              <a16:creationId xmlns:a16="http://schemas.microsoft.com/office/drawing/2014/main" id="{00000000-0008-0000-1600-0000E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58</xdr:row>
      <xdr:rowOff>0</xdr:rowOff>
    </xdr:from>
    <xdr:ext cx="381000" cy="381000"/>
    <xdr:pic>
      <xdr:nvPicPr>
        <xdr:cNvPr id="232" name="image244.png">
          <a:extLst>
            <a:ext uri="{FF2B5EF4-FFF2-40B4-BE49-F238E27FC236}">
              <a16:creationId xmlns:a16="http://schemas.microsoft.com/office/drawing/2014/main" id="{00000000-0008-0000-1600-0000E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58</xdr:row>
      <xdr:rowOff>0</xdr:rowOff>
    </xdr:from>
    <xdr:ext cx="381000" cy="381000"/>
    <xdr:pic>
      <xdr:nvPicPr>
        <xdr:cNvPr id="233" name="image126.png">
          <a:extLst>
            <a:ext uri="{FF2B5EF4-FFF2-40B4-BE49-F238E27FC236}">
              <a16:creationId xmlns:a16="http://schemas.microsoft.com/office/drawing/2014/main" id="{00000000-0008-0000-1600-0000E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59</xdr:row>
      <xdr:rowOff>0</xdr:rowOff>
    </xdr:from>
    <xdr:ext cx="381000" cy="381000"/>
    <xdr:pic>
      <xdr:nvPicPr>
        <xdr:cNvPr id="234" name="image280.png">
          <a:extLst>
            <a:ext uri="{FF2B5EF4-FFF2-40B4-BE49-F238E27FC236}">
              <a16:creationId xmlns:a16="http://schemas.microsoft.com/office/drawing/2014/main" id="{00000000-0008-0000-1600-0000E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59</xdr:row>
      <xdr:rowOff>0</xdr:rowOff>
    </xdr:from>
    <xdr:ext cx="381000" cy="381000"/>
    <xdr:pic>
      <xdr:nvPicPr>
        <xdr:cNvPr id="235" name="image272.png">
          <a:extLst>
            <a:ext uri="{FF2B5EF4-FFF2-40B4-BE49-F238E27FC236}">
              <a16:creationId xmlns:a16="http://schemas.microsoft.com/office/drawing/2014/main" id="{00000000-0008-0000-1600-0000E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59</xdr:row>
      <xdr:rowOff>0</xdr:rowOff>
    </xdr:from>
    <xdr:ext cx="381000" cy="381000"/>
    <xdr:pic>
      <xdr:nvPicPr>
        <xdr:cNvPr id="236" name="image244.png">
          <a:extLst>
            <a:ext uri="{FF2B5EF4-FFF2-40B4-BE49-F238E27FC236}">
              <a16:creationId xmlns:a16="http://schemas.microsoft.com/office/drawing/2014/main" id="{00000000-0008-0000-1600-0000E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59</xdr:row>
      <xdr:rowOff>0</xdr:rowOff>
    </xdr:from>
    <xdr:ext cx="381000" cy="381000"/>
    <xdr:pic>
      <xdr:nvPicPr>
        <xdr:cNvPr id="237" name="image126.png">
          <a:extLst>
            <a:ext uri="{FF2B5EF4-FFF2-40B4-BE49-F238E27FC236}">
              <a16:creationId xmlns:a16="http://schemas.microsoft.com/office/drawing/2014/main" id="{00000000-0008-0000-1600-0000ED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60</xdr:row>
      <xdr:rowOff>0</xdr:rowOff>
    </xdr:from>
    <xdr:ext cx="381000" cy="381000"/>
    <xdr:pic>
      <xdr:nvPicPr>
        <xdr:cNvPr id="238" name="image280.png">
          <a:extLst>
            <a:ext uri="{FF2B5EF4-FFF2-40B4-BE49-F238E27FC236}">
              <a16:creationId xmlns:a16="http://schemas.microsoft.com/office/drawing/2014/main" id="{00000000-0008-0000-1600-0000E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60</xdr:row>
      <xdr:rowOff>0</xdr:rowOff>
    </xdr:from>
    <xdr:ext cx="381000" cy="381000"/>
    <xdr:pic>
      <xdr:nvPicPr>
        <xdr:cNvPr id="239" name="image272.png">
          <a:extLst>
            <a:ext uri="{FF2B5EF4-FFF2-40B4-BE49-F238E27FC236}">
              <a16:creationId xmlns:a16="http://schemas.microsoft.com/office/drawing/2014/main" id="{00000000-0008-0000-1600-0000E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60</xdr:row>
      <xdr:rowOff>0</xdr:rowOff>
    </xdr:from>
    <xdr:ext cx="381000" cy="381000"/>
    <xdr:pic>
      <xdr:nvPicPr>
        <xdr:cNvPr id="240" name="image244.png">
          <a:extLst>
            <a:ext uri="{FF2B5EF4-FFF2-40B4-BE49-F238E27FC236}">
              <a16:creationId xmlns:a16="http://schemas.microsoft.com/office/drawing/2014/main" id="{00000000-0008-0000-1600-0000F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60</xdr:row>
      <xdr:rowOff>0</xdr:rowOff>
    </xdr:from>
    <xdr:ext cx="381000" cy="381000"/>
    <xdr:pic>
      <xdr:nvPicPr>
        <xdr:cNvPr id="241" name="image126.png">
          <a:extLst>
            <a:ext uri="{FF2B5EF4-FFF2-40B4-BE49-F238E27FC236}">
              <a16:creationId xmlns:a16="http://schemas.microsoft.com/office/drawing/2014/main" id="{00000000-0008-0000-1600-0000F1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61</xdr:row>
      <xdr:rowOff>0</xdr:rowOff>
    </xdr:from>
    <xdr:ext cx="381000" cy="381000"/>
    <xdr:pic>
      <xdr:nvPicPr>
        <xdr:cNvPr id="242" name="image275.png">
          <a:extLst>
            <a:ext uri="{FF2B5EF4-FFF2-40B4-BE49-F238E27FC236}">
              <a16:creationId xmlns:a16="http://schemas.microsoft.com/office/drawing/2014/main" id="{00000000-0008-0000-1600-0000F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61</xdr:row>
      <xdr:rowOff>0</xdr:rowOff>
    </xdr:from>
    <xdr:ext cx="381000" cy="381000"/>
    <xdr:pic>
      <xdr:nvPicPr>
        <xdr:cNvPr id="243" name="image272.png">
          <a:extLst>
            <a:ext uri="{FF2B5EF4-FFF2-40B4-BE49-F238E27FC236}">
              <a16:creationId xmlns:a16="http://schemas.microsoft.com/office/drawing/2014/main" id="{00000000-0008-0000-1600-0000F3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61</xdr:row>
      <xdr:rowOff>0</xdr:rowOff>
    </xdr:from>
    <xdr:ext cx="381000" cy="381000"/>
    <xdr:pic>
      <xdr:nvPicPr>
        <xdr:cNvPr id="244" name="image244.png">
          <a:extLst>
            <a:ext uri="{FF2B5EF4-FFF2-40B4-BE49-F238E27FC236}">
              <a16:creationId xmlns:a16="http://schemas.microsoft.com/office/drawing/2014/main" id="{00000000-0008-0000-1600-0000F4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61</xdr:row>
      <xdr:rowOff>0</xdr:rowOff>
    </xdr:from>
    <xdr:ext cx="381000" cy="381000"/>
    <xdr:pic>
      <xdr:nvPicPr>
        <xdr:cNvPr id="245" name="image135.png">
          <a:extLst>
            <a:ext uri="{FF2B5EF4-FFF2-40B4-BE49-F238E27FC236}">
              <a16:creationId xmlns:a16="http://schemas.microsoft.com/office/drawing/2014/main" id="{00000000-0008-0000-1600-0000F5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0</xdr:col>
      <xdr:colOff>0</xdr:colOff>
      <xdr:row>62</xdr:row>
      <xdr:rowOff>0</xdr:rowOff>
    </xdr:from>
    <xdr:ext cx="381000" cy="381000"/>
    <xdr:pic>
      <xdr:nvPicPr>
        <xdr:cNvPr id="246" name="image280.png">
          <a:extLst>
            <a:ext uri="{FF2B5EF4-FFF2-40B4-BE49-F238E27FC236}">
              <a16:creationId xmlns:a16="http://schemas.microsoft.com/office/drawing/2014/main" id="{00000000-0008-0000-1600-0000F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62</xdr:row>
      <xdr:rowOff>0</xdr:rowOff>
    </xdr:from>
    <xdr:ext cx="381000" cy="381000"/>
    <xdr:pic>
      <xdr:nvPicPr>
        <xdr:cNvPr id="247" name="image272.png">
          <a:extLst>
            <a:ext uri="{FF2B5EF4-FFF2-40B4-BE49-F238E27FC236}">
              <a16:creationId xmlns:a16="http://schemas.microsoft.com/office/drawing/2014/main" id="{00000000-0008-0000-1600-0000F7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62</xdr:row>
      <xdr:rowOff>0</xdr:rowOff>
    </xdr:from>
    <xdr:ext cx="381000" cy="381000"/>
    <xdr:pic>
      <xdr:nvPicPr>
        <xdr:cNvPr id="248" name="image244.png">
          <a:extLst>
            <a:ext uri="{FF2B5EF4-FFF2-40B4-BE49-F238E27FC236}">
              <a16:creationId xmlns:a16="http://schemas.microsoft.com/office/drawing/2014/main" id="{00000000-0008-0000-1600-0000F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62</xdr:row>
      <xdr:rowOff>0</xdr:rowOff>
    </xdr:from>
    <xdr:ext cx="381000" cy="381000"/>
    <xdr:pic>
      <xdr:nvPicPr>
        <xdr:cNvPr id="249" name="image135.png">
          <a:extLst>
            <a:ext uri="{FF2B5EF4-FFF2-40B4-BE49-F238E27FC236}">
              <a16:creationId xmlns:a16="http://schemas.microsoft.com/office/drawing/2014/main" id="{00000000-0008-0000-1600-0000F9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0</xdr:col>
      <xdr:colOff>0</xdr:colOff>
      <xdr:row>63</xdr:row>
      <xdr:rowOff>0</xdr:rowOff>
    </xdr:from>
    <xdr:ext cx="381000" cy="381000"/>
    <xdr:pic>
      <xdr:nvPicPr>
        <xdr:cNvPr id="250" name="image275.png">
          <a:extLst>
            <a:ext uri="{FF2B5EF4-FFF2-40B4-BE49-F238E27FC236}">
              <a16:creationId xmlns:a16="http://schemas.microsoft.com/office/drawing/2014/main" id="{00000000-0008-0000-1600-0000F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63</xdr:row>
      <xdr:rowOff>0</xdr:rowOff>
    </xdr:from>
    <xdr:ext cx="381000" cy="381000"/>
    <xdr:pic>
      <xdr:nvPicPr>
        <xdr:cNvPr id="251" name="image283.png">
          <a:extLst>
            <a:ext uri="{FF2B5EF4-FFF2-40B4-BE49-F238E27FC236}">
              <a16:creationId xmlns:a16="http://schemas.microsoft.com/office/drawing/2014/main" id="{00000000-0008-0000-1600-0000FB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63</xdr:row>
      <xdr:rowOff>0</xdr:rowOff>
    </xdr:from>
    <xdr:ext cx="381000" cy="381000"/>
    <xdr:pic>
      <xdr:nvPicPr>
        <xdr:cNvPr id="252" name="image244.png">
          <a:extLst>
            <a:ext uri="{FF2B5EF4-FFF2-40B4-BE49-F238E27FC236}">
              <a16:creationId xmlns:a16="http://schemas.microsoft.com/office/drawing/2014/main" id="{00000000-0008-0000-1600-0000FC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63</xdr:row>
      <xdr:rowOff>0</xdr:rowOff>
    </xdr:from>
    <xdr:ext cx="381000" cy="381000"/>
    <xdr:pic>
      <xdr:nvPicPr>
        <xdr:cNvPr id="253" name="image145.png">
          <a:extLst>
            <a:ext uri="{FF2B5EF4-FFF2-40B4-BE49-F238E27FC236}">
              <a16:creationId xmlns:a16="http://schemas.microsoft.com/office/drawing/2014/main" id="{00000000-0008-0000-1600-0000FD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0</xdr:col>
      <xdr:colOff>0</xdr:colOff>
      <xdr:row>64</xdr:row>
      <xdr:rowOff>0</xdr:rowOff>
    </xdr:from>
    <xdr:ext cx="381000" cy="381000"/>
    <xdr:pic>
      <xdr:nvPicPr>
        <xdr:cNvPr id="254" name="image278.png">
          <a:extLst>
            <a:ext uri="{FF2B5EF4-FFF2-40B4-BE49-F238E27FC236}">
              <a16:creationId xmlns:a16="http://schemas.microsoft.com/office/drawing/2014/main" id="{00000000-0008-0000-1600-0000FE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64</xdr:row>
      <xdr:rowOff>0</xdr:rowOff>
    </xdr:from>
    <xdr:ext cx="381000" cy="381000"/>
    <xdr:pic>
      <xdr:nvPicPr>
        <xdr:cNvPr id="255" name="image283.png">
          <a:extLst>
            <a:ext uri="{FF2B5EF4-FFF2-40B4-BE49-F238E27FC236}">
              <a16:creationId xmlns:a16="http://schemas.microsoft.com/office/drawing/2014/main" id="{00000000-0008-0000-1600-0000FF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64</xdr:row>
      <xdr:rowOff>0</xdr:rowOff>
    </xdr:from>
    <xdr:ext cx="381000" cy="381000"/>
    <xdr:pic>
      <xdr:nvPicPr>
        <xdr:cNvPr id="256" name="image244.png">
          <a:extLst>
            <a:ext uri="{FF2B5EF4-FFF2-40B4-BE49-F238E27FC236}">
              <a16:creationId xmlns:a16="http://schemas.microsoft.com/office/drawing/2014/main" id="{00000000-0008-0000-1600-000000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64</xdr:row>
      <xdr:rowOff>0</xdr:rowOff>
    </xdr:from>
    <xdr:ext cx="381000" cy="381000"/>
    <xdr:pic>
      <xdr:nvPicPr>
        <xdr:cNvPr id="257" name="image145.png">
          <a:extLst>
            <a:ext uri="{FF2B5EF4-FFF2-40B4-BE49-F238E27FC236}">
              <a16:creationId xmlns:a16="http://schemas.microsoft.com/office/drawing/2014/main" id="{00000000-0008-0000-1600-000001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0</xdr:col>
      <xdr:colOff>0</xdr:colOff>
      <xdr:row>65</xdr:row>
      <xdr:rowOff>0</xdr:rowOff>
    </xdr:from>
    <xdr:ext cx="381000" cy="381000"/>
    <xdr:pic>
      <xdr:nvPicPr>
        <xdr:cNvPr id="258" name="image275.png">
          <a:extLst>
            <a:ext uri="{FF2B5EF4-FFF2-40B4-BE49-F238E27FC236}">
              <a16:creationId xmlns:a16="http://schemas.microsoft.com/office/drawing/2014/main" id="{00000000-0008-0000-1600-000002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65</xdr:row>
      <xdr:rowOff>0</xdr:rowOff>
    </xdr:from>
    <xdr:ext cx="381000" cy="381000"/>
    <xdr:pic>
      <xdr:nvPicPr>
        <xdr:cNvPr id="259" name="image283.png">
          <a:extLst>
            <a:ext uri="{FF2B5EF4-FFF2-40B4-BE49-F238E27FC236}">
              <a16:creationId xmlns:a16="http://schemas.microsoft.com/office/drawing/2014/main" id="{00000000-0008-0000-1600-000003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65</xdr:row>
      <xdr:rowOff>0</xdr:rowOff>
    </xdr:from>
    <xdr:ext cx="381000" cy="381000"/>
    <xdr:pic>
      <xdr:nvPicPr>
        <xdr:cNvPr id="260" name="image244.png">
          <a:extLst>
            <a:ext uri="{FF2B5EF4-FFF2-40B4-BE49-F238E27FC236}">
              <a16:creationId xmlns:a16="http://schemas.microsoft.com/office/drawing/2014/main" id="{00000000-0008-0000-1600-000004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65</xdr:row>
      <xdr:rowOff>0</xdr:rowOff>
    </xdr:from>
    <xdr:ext cx="381000" cy="381000"/>
    <xdr:pic>
      <xdr:nvPicPr>
        <xdr:cNvPr id="261" name="image144.png">
          <a:extLst>
            <a:ext uri="{FF2B5EF4-FFF2-40B4-BE49-F238E27FC236}">
              <a16:creationId xmlns:a16="http://schemas.microsoft.com/office/drawing/2014/main" id="{00000000-0008-0000-1600-000005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0</xdr:col>
      <xdr:colOff>0</xdr:colOff>
      <xdr:row>66</xdr:row>
      <xdr:rowOff>0</xdr:rowOff>
    </xdr:from>
    <xdr:ext cx="381000" cy="381000"/>
    <xdr:pic>
      <xdr:nvPicPr>
        <xdr:cNvPr id="262" name="image275.png">
          <a:extLst>
            <a:ext uri="{FF2B5EF4-FFF2-40B4-BE49-F238E27FC236}">
              <a16:creationId xmlns:a16="http://schemas.microsoft.com/office/drawing/2014/main" id="{00000000-0008-0000-1600-000006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66</xdr:row>
      <xdr:rowOff>0</xdr:rowOff>
    </xdr:from>
    <xdr:ext cx="381000" cy="381000"/>
    <xdr:pic>
      <xdr:nvPicPr>
        <xdr:cNvPr id="263" name="image283.png">
          <a:extLst>
            <a:ext uri="{FF2B5EF4-FFF2-40B4-BE49-F238E27FC236}">
              <a16:creationId xmlns:a16="http://schemas.microsoft.com/office/drawing/2014/main" id="{00000000-0008-0000-1600-000007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66</xdr:row>
      <xdr:rowOff>0</xdr:rowOff>
    </xdr:from>
    <xdr:ext cx="381000" cy="381000"/>
    <xdr:pic>
      <xdr:nvPicPr>
        <xdr:cNvPr id="264" name="image244.png">
          <a:extLst>
            <a:ext uri="{FF2B5EF4-FFF2-40B4-BE49-F238E27FC236}">
              <a16:creationId xmlns:a16="http://schemas.microsoft.com/office/drawing/2014/main" id="{00000000-0008-0000-1600-000008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66</xdr:row>
      <xdr:rowOff>0</xdr:rowOff>
    </xdr:from>
    <xdr:ext cx="381000" cy="381000"/>
    <xdr:pic>
      <xdr:nvPicPr>
        <xdr:cNvPr id="265" name="image148.png">
          <a:extLst>
            <a:ext uri="{FF2B5EF4-FFF2-40B4-BE49-F238E27FC236}">
              <a16:creationId xmlns:a16="http://schemas.microsoft.com/office/drawing/2014/main" id="{00000000-0008-0000-1600-00000901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0</xdr:col>
      <xdr:colOff>0</xdr:colOff>
      <xdr:row>67</xdr:row>
      <xdr:rowOff>0</xdr:rowOff>
    </xdr:from>
    <xdr:ext cx="381000" cy="381000"/>
    <xdr:pic>
      <xdr:nvPicPr>
        <xdr:cNvPr id="266" name="image275.png">
          <a:extLst>
            <a:ext uri="{FF2B5EF4-FFF2-40B4-BE49-F238E27FC236}">
              <a16:creationId xmlns:a16="http://schemas.microsoft.com/office/drawing/2014/main" id="{00000000-0008-0000-1600-00000A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67</xdr:row>
      <xdr:rowOff>0</xdr:rowOff>
    </xdr:from>
    <xdr:ext cx="381000" cy="381000"/>
    <xdr:pic>
      <xdr:nvPicPr>
        <xdr:cNvPr id="267" name="image283.png">
          <a:extLst>
            <a:ext uri="{FF2B5EF4-FFF2-40B4-BE49-F238E27FC236}">
              <a16:creationId xmlns:a16="http://schemas.microsoft.com/office/drawing/2014/main" id="{00000000-0008-0000-1600-00000B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67</xdr:row>
      <xdr:rowOff>0</xdr:rowOff>
    </xdr:from>
    <xdr:ext cx="381000" cy="381000"/>
    <xdr:pic>
      <xdr:nvPicPr>
        <xdr:cNvPr id="268" name="image244.png">
          <a:extLst>
            <a:ext uri="{FF2B5EF4-FFF2-40B4-BE49-F238E27FC236}">
              <a16:creationId xmlns:a16="http://schemas.microsoft.com/office/drawing/2014/main" id="{00000000-0008-0000-1600-00000C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67</xdr:row>
      <xdr:rowOff>0</xdr:rowOff>
    </xdr:from>
    <xdr:ext cx="381000" cy="381000"/>
    <xdr:pic>
      <xdr:nvPicPr>
        <xdr:cNvPr id="269" name="image130.png">
          <a:extLst>
            <a:ext uri="{FF2B5EF4-FFF2-40B4-BE49-F238E27FC236}">
              <a16:creationId xmlns:a16="http://schemas.microsoft.com/office/drawing/2014/main" id="{00000000-0008-0000-1600-00000D01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0</xdr:col>
      <xdr:colOff>0</xdr:colOff>
      <xdr:row>68</xdr:row>
      <xdr:rowOff>0</xdr:rowOff>
    </xdr:from>
    <xdr:ext cx="381000" cy="381000"/>
    <xdr:pic>
      <xdr:nvPicPr>
        <xdr:cNvPr id="270" name="image278.png">
          <a:extLst>
            <a:ext uri="{FF2B5EF4-FFF2-40B4-BE49-F238E27FC236}">
              <a16:creationId xmlns:a16="http://schemas.microsoft.com/office/drawing/2014/main" id="{00000000-0008-0000-1600-00000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68</xdr:row>
      <xdr:rowOff>0</xdr:rowOff>
    </xdr:from>
    <xdr:ext cx="381000" cy="381000"/>
    <xdr:pic>
      <xdr:nvPicPr>
        <xdr:cNvPr id="271" name="image283.png">
          <a:extLst>
            <a:ext uri="{FF2B5EF4-FFF2-40B4-BE49-F238E27FC236}">
              <a16:creationId xmlns:a16="http://schemas.microsoft.com/office/drawing/2014/main" id="{00000000-0008-0000-1600-00000F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68</xdr:row>
      <xdr:rowOff>0</xdr:rowOff>
    </xdr:from>
    <xdr:ext cx="381000" cy="381000"/>
    <xdr:pic>
      <xdr:nvPicPr>
        <xdr:cNvPr id="272" name="image244.png">
          <a:extLst>
            <a:ext uri="{FF2B5EF4-FFF2-40B4-BE49-F238E27FC236}">
              <a16:creationId xmlns:a16="http://schemas.microsoft.com/office/drawing/2014/main" id="{00000000-0008-0000-1600-000010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68</xdr:row>
      <xdr:rowOff>0</xdr:rowOff>
    </xdr:from>
    <xdr:ext cx="381000" cy="381000"/>
    <xdr:pic>
      <xdr:nvPicPr>
        <xdr:cNvPr id="273" name="image130.png">
          <a:extLst>
            <a:ext uri="{FF2B5EF4-FFF2-40B4-BE49-F238E27FC236}">
              <a16:creationId xmlns:a16="http://schemas.microsoft.com/office/drawing/2014/main" id="{00000000-0008-0000-1600-00001101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0</xdr:col>
      <xdr:colOff>0</xdr:colOff>
      <xdr:row>69</xdr:row>
      <xdr:rowOff>0</xdr:rowOff>
    </xdr:from>
    <xdr:ext cx="381000" cy="381000"/>
    <xdr:pic>
      <xdr:nvPicPr>
        <xdr:cNvPr id="274" name="image275.png">
          <a:extLst>
            <a:ext uri="{FF2B5EF4-FFF2-40B4-BE49-F238E27FC236}">
              <a16:creationId xmlns:a16="http://schemas.microsoft.com/office/drawing/2014/main" id="{00000000-0008-0000-1600-000012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69</xdr:row>
      <xdr:rowOff>0</xdr:rowOff>
    </xdr:from>
    <xdr:ext cx="381000" cy="381000"/>
    <xdr:pic>
      <xdr:nvPicPr>
        <xdr:cNvPr id="275" name="image283.png">
          <a:extLst>
            <a:ext uri="{FF2B5EF4-FFF2-40B4-BE49-F238E27FC236}">
              <a16:creationId xmlns:a16="http://schemas.microsoft.com/office/drawing/2014/main" id="{00000000-0008-0000-1600-000013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69</xdr:row>
      <xdr:rowOff>0</xdr:rowOff>
    </xdr:from>
    <xdr:ext cx="381000" cy="381000"/>
    <xdr:pic>
      <xdr:nvPicPr>
        <xdr:cNvPr id="276" name="image244.png">
          <a:extLst>
            <a:ext uri="{FF2B5EF4-FFF2-40B4-BE49-F238E27FC236}">
              <a16:creationId xmlns:a16="http://schemas.microsoft.com/office/drawing/2014/main" id="{00000000-0008-0000-1600-000014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69</xdr:row>
      <xdr:rowOff>0</xdr:rowOff>
    </xdr:from>
    <xdr:ext cx="381000" cy="381000"/>
    <xdr:pic>
      <xdr:nvPicPr>
        <xdr:cNvPr id="277" name="image132.png">
          <a:extLst>
            <a:ext uri="{FF2B5EF4-FFF2-40B4-BE49-F238E27FC236}">
              <a16:creationId xmlns:a16="http://schemas.microsoft.com/office/drawing/2014/main" id="{00000000-0008-0000-1600-000015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0</xdr:col>
      <xdr:colOff>0</xdr:colOff>
      <xdr:row>70</xdr:row>
      <xdr:rowOff>0</xdr:rowOff>
    </xdr:from>
    <xdr:ext cx="381000" cy="381000"/>
    <xdr:pic>
      <xdr:nvPicPr>
        <xdr:cNvPr id="278" name="image278.png">
          <a:extLst>
            <a:ext uri="{FF2B5EF4-FFF2-40B4-BE49-F238E27FC236}">
              <a16:creationId xmlns:a16="http://schemas.microsoft.com/office/drawing/2014/main" id="{00000000-0008-0000-1600-000016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70</xdr:row>
      <xdr:rowOff>0</xdr:rowOff>
    </xdr:from>
    <xdr:ext cx="381000" cy="381000"/>
    <xdr:pic>
      <xdr:nvPicPr>
        <xdr:cNvPr id="279" name="image283.png">
          <a:extLst>
            <a:ext uri="{FF2B5EF4-FFF2-40B4-BE49-F238E27FC236}">
              <a16:creationId xmlns:a16="http://schemas.microsoft.com/office/drawing/2014/main" id="{00000000-0008-0000-1600-000017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70</xdr:row>
      <xdr:rowOff>0</xdr:rowOff>
    </xdr:from>
    <xdr:ext cx="381000" cy="381000"/>
    <xdr:pic>
      <xdr:nvPicPr>
        <xdr:cNvPr id="280" name="image244.png">
          <a:extLst>
            <a:ext uri="{FF2B5EF4-FFF2-40B4-BE49-F238E27FC236}">
              <a16:creationId xmlns:a16="http://schemas.microsoft.com/office/drawing/2014/main" id="{00000000-0008-0000-1600-000018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70</xdr:row>
      <xdr:rowOff>0</xdr:rowOff>
    </xdr:from>
    <xdr:ext cx="381000" cy="381000"/>
    <xdr:pic>
      <xdr:nvPicPr>
        <xdr:cNvPr id="281" name="image132.png">
          <a:extLst>
            <a:ext uri="{FF2B5EF4-FFF2-40B4-BE49-F238E27FC236}">
              <a16:creationId xmlns:a16="http://schemas.microsoft.com/office/drawing/2014/main" id="{00000000-0008-0000-1600-00001901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0</xdr:col>
      <xdr:colOff>0</xdr:colOff>
      <xdr:row>71</xdr:row>
      <xdr:rowOff>0</xdr:rowOff>
    </xdr:from>
    <xdr:ext cx="381000" cy="381000"/>
    <xdr:pic>
      <xdr:nvPicPr>
        <xdr:cNvPr id="282" name="image275.png">
          <a:extLst>
            <a:ext uri="{FF2B5EF4-FFF2-40B4-BE49-F238E27FC236}">
              <a16:creationId xmlns:a16="http://schemas.microsoft.com/office/drawing/2014/main" id="{00000000-0008-0000-1600-00001A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71</xdr:row>
      <xdr:rowOff>0</xdr:rowOff>
    </xdr:from>
    <xdr:ext cx="381000" cy="381000"/>
    <xdr:pic>
      <xdr:nvPicPr>
        <xdr:cNvPr id="283" name="image270.png">
          <a:extLst>
            <a:ext uri="{FF2B5EF4-FFF2-40B4-BE49-F238E27FC236}">
              <a16:creationId xmlns:a16="http://schemas.microsoft.com/office/drawing/2014/main" id="{00000000-0008-0000-1600-00001B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71</xdr:row>
      <xdr:rowOff>0</xdr:rowOff>
    </xdr:from>
    <xdr:ext cx="381000" cy="381000"/>
    <xdr:pic>
      <xdr:nvPicPr>
        <xdr:cNvPr id="284" name="image244.png">
          <a:extLst>
            <a:ext uri="{FF2B5EF4-FFF2-40B4-BE49-F238E27FC236}">
              <a16:creationId xmlns:a16="http://schemas.microsoft.com/office/drawing/2014/main" id="{00000000-0008-0000-1600-00001C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71</xdr:row>
      <xdr:rowOff>0</xdr:rowOff>
    </xdr:from>
    <xdr:ext cx="371475" cy="381000"/>
    <xdr:pic>
      <xdr:nvPicPr>
        <xdr:cNvPr id="285" name="image137.png">
          <a:extLst>
            <a:ext uri="{FF2B5EF4-FFF2-40B4-BE49-F238E27FC236}">
              <a16:creationId xmlns:a16="http://schemas.microsoft.com/office/drawing/2014/main" id="{00000000-0008-0000-1600-00001D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0</xdr:col>
      <xdr:colOff>0</xdr:colOff>
      <xdr:row>72</xdr:row>
      <xdr:rowOff>0</xdr:rowOff>
    </xdr:from>
    <xdr:ext cx="381000" cy="381000"/>
    <xdr:pic>
      <xdr:nvPicPr>
        <xdr:cNvPr id="286" name="image278.png">
          <a:extLst>
            <a:ext uri="{FF2B5EF4-FFF2-40B4-BE49-F238E27FC236}">
              <a16:creationId xmlns:a16="http://schemas.microsoft.com/office/drawing/2014/main" id="{00000000-0008-0000-1600-00001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72</xdr:row>
      <xdr:rowOff>0</xdr:rowOff>
    </xdr:from>
    <xdr:ext cx="381000" cy="381000"/>
    <xdr:pic>
      <xdr:nvPicPr>
        <xdr:cNvPr id="287" name="image270.png">
          <a:extLst>
            <a:ext uri="{FF2B5EF4-FFF2-40B4-BE49-F238E27FC236}">
              <a16:creationId xmlns:a16="http://schemas.microsoft.com/office/drawing/2014/main" id="{00000000-0008-0000-1600-00001F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72</xdr:row>
      <xdr:rowOff>0</xdr:rowOff>
    </xdr:from>
    <xdr:ext cx="381000" cy="381000"/>
    <xdr:pic>
      <xdr:nvPicPr>
        <xdr:cNvPr id="288" name="image244.png">
          <a:extLst>
            <a:ext uri="{FF2B5EF4-FFF2-40B4-BE49-F238E27FC236}">
              <a16:creationId xmlns:a16="http://schemas.microsoft.com/office/drawing/2014/main" id="{00000000-0008-0000-1600-000020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72</xdr:row>
      <xdr:rowOff>0</xdr:rowOff>
    </xdr:from>
    <xdr:ext cx="371475" cy="381000"/>
    <xdr:pic>
      <xdr:nvPicPr>
        <xdr:cNvPr id="289" name="image137.png">
          <a:extLst>
            <a:ext uri="{FF2B5EF4-FFF2-40B4-BE49-F238E27FC236}">
              <a16:creationId xmlns:a16="http://schemas.microsoft.com/office/drawing/2014/main" id="{00000000-0008-0000-1600-00002101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0</xdr:col>
      <xdr:colOff>0</xdr:colOff>
      <xdr:row>73</xdr:row>
      <xdr:rowOff>0</xdr:rowOff>
    </xdr:from>
    <xdr:ext cx="381000" cy="381000"/>
    <xdr:pic>
      <xdr:nvPicPr>
        <xdr:cNvPr id="290" name="image275.png">
          <a:extLst>
            <a:ext uri="{FF2B5EF4-FFF2-40B4-BE49-F238E27FC236}">
              <a16:creationId xmlns:a16="http://schemas.microsoft.com/office/drawing/2014/main" id="{00000000-0008-0000-1600-000022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73</xdr:row>
      <xdr:rowOff>0</xdr:rowOff>
    </xdr:from>
    <xdr:ext cx="381000" cy="381000"/>
    <xdr:pic>
      <xdr:nvPicPr>
        <xdr:cNvPr id="291" name="image270.png">
          <a:extLst>
            <a:ext uri="{FF2B5EF4-FFF2-40B4-BE49-F238E27FC236}">
              <a16:creationId xmlns:a16="http://schemas.microsoft.com/office/drawing/2014/main" id="{00000000-0008-0000-1600-000023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73</xdr:row>
      <xdr:rowOff>0</xdr:rowOff>
    </xdr:from>
    <xdr:ext cx="381000" cy="381000"/>
    <xdr:pic>
      <xdr:nvPicPr>
        <xdr:cNvPr id="292" name="image244.png">
          <a:extLst>
            <a:ext uri="{FF2B5EF4-FFF2-40B4-BE49-F238E27FC236}">
              <a16:creationId xmlns:a16="http://schemas.microsoft.com/office/drawing/2014/main" id="{00000000-0008-0000-1600-000024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73</xdr:row>
      <xdr:rowOff>0</xdr:rowOff>
    </xdr:from>
    <xdr:ext cx="381000" cy="381000"/>
    <xdr:pic>
      <xdr:nvPicPr>
        <xdr:cNvPr id="293" name="image136.png">
          <a:extLst>
            <a:ext uri="{FF2B5EF4-FFF2-40B4-BE49-F238E27FC236}">
              <a16:creationId xmlns:a16="http://schemas.microsoft.com/office/drawing/2014/main" id="{00000000-0008-0000-1600-00002501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0</xdr:col>
      <xdr:colOff>0</xdr:colOff>
      <xdr:row>74</xdr:row>
      <xdr:rowOff>0</xdr:rowOff>
    </xdr:from>
    <xdr:ext cx="381000" cy="381000"/>
    <xdr:pic>
      <xdr:nvPicPr>
        <xdr:cNvPr id="294" name="image275.png">
          <a:extLst>
            <a:ext uri="{FF2B5EF4-FFF2-40B4-BE49-F238E27FC236}">
              <a16:creationId xmlns:a16="http://schemas.microsoft.com/office/drawing/2014/main" id="{00000000-0008-0000-1600-000026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74</xdr:row>
      <xdr:rowOff>0</xdr:rowOff>
    </xdr:from>
    <xdr:ext cx="381000" cy="381000"/>
    <xdr:pic>
      <xdr:nvPicPr>
        <xdr:cNvPr id="295" name="image270.png">
          <a:extLst>
            <a:ext uri="{FF2B5EF4-FFF2-40B4-BE49-F238E27FC236}">
              <a16:creationId xmlns:a16="http://schemas.microsoft.com/office/drawing/2014/main" id="{00000000-0008-0000-1600-000027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74</xdr:row>
      <xdr:rowOff>0</xdr:rowOff>
    </xdr:from>
    <xdr:ext cx="381000" cy="381000"/>
    <xdr:pic>
      <xdr:nvPicPr>
        <xdr:cNvPr id="296" name="image244.png">
          <a:extLst>
            <a:ext uri="{FF2B5EF4-FFF2-40B4-BE49-F238E27FC236}">
              <a16:creationId xmlns:a16="http://schemas.microsoft.com/office/drawing/2014/main" id="{00000000-0008-0000-1600-000028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74</xdr:row>
      <xdr:rowOff>0</xdr:rowOff>
    </xdr:from>
    <xdr:ext cx="381000" cy="381000"/>
    <xdr:pic>
      <xdr:nvPicPr>
        <xdr:cNvPr id="297" name="image129.png">
          <a:extLst>
            <a:ext uri="{FF2B5EF4-FFF2-40B4-BE49-F238E27FC236}">
              <a16:creationId xmlns:a16="http://schemas.microsoft.com/office/drawing/2014/main" id="{00000000-0008-0000-1600-00002901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0</xdr:col>
      <xdr:colOff>0</xdr:colOff>
      <xdr:row>75</xdr:row>
      <xdr:rowOff>0</xdr:rowOff>
    </xdr:from>
    <xdr:ext cx="381000" cy="381000"/>
    <xdr:pic>
      <xdr:nvPicPr>
        <xdr:cNvPr id="298" name="image275.png">
          <a:extLst>
            <a:ext uri="{FF2B5EF4-FFF2-40B4-BE49-F238E27FC236}">
              <a16:creationId xmlns:a16="http://schemas.microsoft.com/office/drawing/2014/main" id="{00000000-0008-0000-1600-00002A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75</xdr:row>
      <xdr:rowOff>0</xdr:rowOff>
    </xdr:from>
    <xdr:ext cx="381000" cy="381000"/>
    <xdr:pic>
      <xdr:nvPicPr>
        <xdr:cNvPr id="299" name="image270.png">
          <a:extLst>
            <a:ext uri="{FF2B5EF4-FFF2-40B4-BE49-F238E27FC236}">
              <a16:creationId xmlns:a16="http://schemas.microsoft.com/office/drawing/2014/main" id="{00000000-0008-0000-1600-00002B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75</xdr:row>
      <xdr:rowOff>0</xdr:rowOff>
    </xdr:from>
    <xdr:ext cx="381000" cy="381000"/>
    <xdr:pic>
      <xdr:nvPicPr>
        <xdr:cNvPr id="300" name="image244.png">
          <a:extLst>
            <a:ext uri="{FF2B5EF4-FFF2-40B4-BE49-F238E27FC236}">
              <a16:creationId xmlns:a16="http://schemas.microsoft.com/office/drawing/2014/main" id="{00000000-0008-0000-1600-00002C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75</xdr:row>
      <xdr:rowOff>0</xdr:rowOff>
    </xdr:from>
    <xdr:ext cx="381000" cy="381000"/>
    <xdr:pic>
      <xdr:nvPicPr>
        <xdr:cNvPr id="301" name="image143.png">
          <a:extLst>
            <a:ext uri="{FF2B5EF4-FFF2-40B4-BE49-F238E27FC236}">
              <a16:creationId xmlns:a16="http://schemas.microsoft.com/office/drawing/2014/main" id="{00000000-0008-0000-1600-00002D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0</xdr:col>
      <xdr:colOff>0</xdr:colOff>
      <xdr:row>76</xdr:row>
      <xdr:rowOff>0</xdr:rowOff>
    </xdr:from>
    <xdr:ext cx="381000" cy="381000"/>
    <xdr:pic>
      <xdr:nvPicPr>
        <xdr:cNvPr id="302" name="image278.png">
          <a:extLst>
            <a:ext uri="{FF2B5EF4-FFF2-40B4-BE49-F238E27FC236}">
              <a16:creationId xmlns:a16="http://schemas.microsoft.com/office/drawing/2014/main" id="{00000000-0008-0000-1600-00002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76</xdr:row>
      <xdr:rowOff>0</xdr:rowOff>
    </xdr:from>
    <xdr:ext cx="381000" cy="381000"/>
    <xdr:pic>
      <xdr:nvPicPr>
        <xdr:cNvPr id="303" name="image270.png">
          <a:extLst>
            <a:ext uri="{FF2B5EF4-FFF2-40B4-BE49-F238E27FC236}">
              <a16:creationId xmlns:a16="http://schemas.microsoft.com/office/drawing/2014/main" id="{00000000-0008-0000-1600-00002F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76</xdr:row>
      <xdr:rowOff>0</xdr:rowOff>
    </xdr:from>
    <xdr:ext cx="381000" cy="381000"/>
    <xdr:pic>
      <xdr:nvPicPr>
        <xdr:cNvPr id="304" name="image244.png">
          <a:extLst>
            <a:ext uri="{FF2B5EF4-FFF2-40B4-BE49-F238E27FC236}">
              <a16:creationId xmlns:a16="http://schemas.microsoft.com/office/drawing/2014/main" id="{00000000-0008-0000-1600-000030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76</xdr:row>
      <xdr:rowOff>0</xdr:rowOff>
    </xdr:from>
    <xdr:ext cx="381000" cy="381000"/>
    <xdr:pic>
      <xdr:nvPicPr>
        <xdr:cNvPr id="305" name="image143.png">
          <a:extLst>
            <a:ext uri="{FF2B5EF4-FFF2-40B4-BE49-F238E27FC236}">
              <a16:creationId xmlns:a16="http://schemas.microsoft.com/office/drawing/2014/main" id="{00000000-0008-0000-1600-00003101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0</xdr:col>
      <xdr:colOff>0</xdr:colOff>
      <xdr:row>77</xdr:row>
      <xdr:rowOff>0</xdr:rowOff>
    </xdr:from>
    <xdr:ext cx="381000" cy="381000"/>
    <xdr:pic>
      <xdr:nvPicPr>
        <xdr:cNvPr id="306" name="image275.png">
          <a:extLst>
            <a:ext uri="{FF2B5EF4-FFF2-40B4-BE49-F238E27FC236}">
              <a16:creationId xmlns:a16="http://schemas.microsoft.com/office/drawing/2014/main" id="{00000000-0008-0000-1600-000032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77</xdr:row>
      <xdr:rowOff>0</xdr:rowOff>
    </xdr:from>
    <xdr:ext cx="381000" cy="381000"/>
    <xdr:pic>
      <xdr:nvPicPr>
        <xdr:cNvPr id="307" name="image270.png">
          <a:extLst>
            <a:ext uri="{FF2B5EF4-FFF2-40B4-BE49-F238E27FC236}">
              <a16:creationId xmlns:a16="http://schemas.microsoft.com/office/drawing/2014/main" id="{00000000-0008-0000-1600-000033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77</xdr:row>
      <xdr:rowOff>0</xdr:rowOff>
    </xdr:from>
    <xdr:ext cx="381000" cy="381000"/>
    <xdr:pic>
      <xdr:nvPicPr>
        <xdr:cNvPr id="308" name="image244.png">
          <a:extLst>
            <a:ext uri="{FF2B5EF4-FFF2-40B4-BE49-F238E27FC236}">
              <a16:creationId xmlns:a16="http://schemas.microsoft.com/office/drawing/2014/main" id="{00000000-0008-0000-1600-000034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77</xdr:row>
      <xdr:rowOff>0</xdr:rowOff>
    </xdr:from>
    <xdr:ext cx="381000" cy="381000"/>
    <xdr:pic>
      <xdr:nvPicPr>
        <xdr:cNvPr id="309" name="image131.png">
          <a:extLst>
            <a:ext uri="{FF2B5EF4-FFF2-40B4-BE49-F238E27FC236}">
              <a16:creationId xmlns:a16="http://schemas.microsoft.com/office/drawing/2014/main" id="{00000000-0008-0000-1600-00003501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0</xdr:col>
      <xdr:colOff>0</xdr:colOff>
      <xdr:row>78</xdr:row>
      <xdr:rowOff>0</xdr:rowOff>
    </xdr:from>
    <xdr:ext cx="381000" cy="381000"/>
    <xdr:pic>
      <xdr:nvPicPr>
        <xdr:cNvPr id="310" name="image275.png">
          <a:extLst>
            <a:ext uri="{FF2B5EF4-FFF2-40B4-BE49-F238E27FC236}">
              <a16:creationId xmlns:a16="http://schemas.microsoft.com/office/drawing/2014/main" id="{00000000-0008-0000-1600-000036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78</xdr:row>
      <xdr:rowOff>0</xdr:rowOff>
    </xdr:from>
    <xdr:ext cx="381000" cy="381000"/>
    <xdr:pic>
      <xdr:nvPicPr>
        <xdr:cNvPr id="311" name="image270.png">
          <a:extLst>
            <a:ext uri="{FF2B5EF4-FFF2-40B4-BE49-F238E27FC236}">
              <a16:creationId xmlns:a16="http://schemas.microsoft.com/office/drawing/2014/main" id="{00000000-0008-0000-1600-000037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78</xdr:row>
      <xdr:rowOff>0</xdr:rowOff>
    </xdr:from>
    <xdr:ext cx="381000" cy="381000"/>
    <xdr:pic>
      <xdr:nvPicPr>
        <xdr:cNvPr id="312" name="image244.png">
          <a:extLst>
            <a:ext uri="{FF2B5EF4-FFF2-40B4-BE49-F238E27FC236}">
              <a16:creationId xmlns:a16="http://schemas.microsoft.com/office/drawing/2014/main" id="{00000000-0008-0000-1600-000038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78</xdr:row>
      <xdr:rowOff>0</xdr:rowOff>
    </xdr:from>
    <xdr:ext cx="381000" cy="381000"/>
    <xdr:pic>
      <xdr:nvPicPr>
        <xdr:cNvPr id="313" name="image119.png">
          <a:extLst>
            <a:ext uri="{FF2B5EF4-FFF2-40B4-BE49-F238E27FC236}">
              <a16:creationId xmlns:a16="http://schemas.microsoft.com/office/drawing/2014/main" id="{00000000-0008-0000-1600-000039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0</xdr:col>
      <xdr:colOff>0</xdr:colOff>
      <xdr:row>79</xdr:row>
      <xdr:rowOff>0</xdr:rowOff>
    </xdr:from>
    <xdr:ext cx="381000" cy="381000"/>
    <xdr:pic>
      <xdr:nvPicPr>
        <xdr:cNvPr id="314" name="image278.png">
          <a:extLst>
            <a:ext uri="{FF2B5EF4-FFF2-40B4-BE49-F238E27FC236}">
              <a16:creationId xmlns:a16="http://schemas.microsoft.com/office/drawing/2014/main" id="{00000000-0008-0000-1600-00003A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79</xdr:row>
      <xdr:rowOff>0</xdr:rowOff>
    </xdr:from>
    <xdr:ext cx="381000" cy="381000"/>
    <xdr:pic>
      <xdr:nvPicPr>
        <xdr:cNvPr id="315" name="image270.png">
          <a:extLst>
            <a:ext uri="{FF2B5EF4-FFF2-40B4-BE49-F238E27FC236}">
              <a16:creationId xmlns:a16="http://schemas.microsoft.com/office/drawing/2014/main" id="{00000000-0008-0000-1600-00003B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79</xdr:row>
      <xdr:rowOff>0</xdr:rowOff>
    </xdr:from>
    <xdr:ext cx="381000" cy="381000"/>
    <xdr:pic>
      <xdr:nvPicPr>
        <xdr:cNvPr id="316" name="image244.png">
          <a:extLst>
            <a:ext uri="{FF2B5EF4-FFF2-40B4-BE49-F238E27FC236}">
              <a16:creationId xmlns:a16="http://schemas.microsoft.com/office/drawing/2014/main" id="{00000000-0008-0000-1600-00003C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79</xdr:row>
      <xdr:rowOff>0</xdr:rowOff>
    </xdr:from>
    <xdr:ext cx="381000" cy="381000"/>
    <xdr:pic>
      <xdr:nvPicPr>
        <xdr:cNvPr id="317" name="image119.png">
          <a:extLst>
            <a:ext uri="{FF2B5EF4-FFF2-40B4-BE49-F238E27FC236}">
              <a16:creationId xmlns:a16="http://schemas.microsoft.com/office/drawing/2014/main" id="{00000000-0008-0000-1600-00003D01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0</xdr:col>
      <xdr:colOff>0</xdr:colOff>
      <xdr:row>80</xdr:row>
      <xdr:rowOff>0</xdr:rowOff>
    </xdr:from>
    <xdr:ext cx="381000" cy="381000"/>
    <xdr:pic>
      <xdr:nvPicPr>
        <xdr:cNvPr id="318" name="image275.png">
          <a:extLst>
            <a:ext uri="{FF2B5EF4-FFF2-40B4-BE49-F238E27FC236}">
              <a16:creationId xmlns:a16="http://schemas.microsoft.com/office/drawing/2014/main" id="{00000000-0008-0000-1600-00003E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80</xdr:row>
      <xdr:rowOff>0</xdr:rowOff>
    </xdr:from>
    <xdr:ext cx="381000" cy="381000"/>
    <xdr:pic>
      <xdr:nvPicPr>
        <xdr:cNvPr id="319" name="image284.png">
          <a:extLst>
            <a:ext uri="{FF2B5EF4-FFF2-40B4-BE49-F238E27FC236}">
              <a16:creationId xmlns:a16="http://schemas.microsoft.com/office/drawing/2014/main" id="{00000000-0008-0000-1600-00003F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80</xdr:row>
      <xdr:rowOff>0</xdr:rowOff>
    </xdr:from>
    <xdr:ext cx="381000" cy="381000"/>
    <xdr:pic>
      <xdr:nvPicPr>
        <xdr:cNvPr id="320" name="image244.png">
          <a:extLst>
            <a:ext uri="{FF2B5EF4-FFF2-40B4-BE49-F238E27FC236}">
              <a16:creationId xmlns:a16="http://schemas.microsoft.com/office/drawing/2014/main" id="{00000000-0008-0000-1600-000040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80</xdr:row>
      <xdr:rowOff>0</xdr:rowOff>
    </xdr:from>
    <xdr:ext cx="371475" cy="381000"/>
    <xdr:pic>
      <xdr:nvPicPr>
        <xdr:cNvPr id="321" name="image125.png">
          <a:extLst>
            <a:ext uri="{FF2B5EF4-FFF2-40B4-BE49-F238E27FC236}">
              <a16:creationId xmlns:a16="http://schemas.microsoft.com/office/drawing/2014/main" id="{00000000-0008-0000-1600-00004101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0</xdr:col>
      <xdr:colOff>0</xdr:colOff>
      <xdr:row>81</xdr:row>
      <xdr:rowOff>0</xdr:rowOff>
    </xdr:from>
    <xdr:ext cx="381000" cy="381000"/>
    <xdr:pic>
      <xdr:nvPicPr>
        <xdr:cNvPr id="322" name="image266.png">
          <a:extLst>
            <a:ext uri="{FF2B5EF4-FFF2-40B4-BE49-F238E27FC236}">
              <a16:creationId xmlns:a16="http://schemas.microsoft.com/office/drawing/2014/main" id="{00000000-0008-0000-1600-00004201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81</xdr:row>
      <xdr:rowOff>0</xdr:rowOff>
    </xdr:from>
    <xdr:ext cx="381000" cy="381000"/>
    <xdr:pic>
      <xdr:nvPicPr>
        <xdr:cNvPr id="323" name="image284.png">
          <a:extLst>
            <a:ext uri="{FF2B5EF4-FFF2-40B4-BE49-F238E27FC236}">
              <a16:creationId xmlns:a16="http://schemas.microsoft.com/office/drawing/2014/main" id="{00000000-0008-0000-1600-000043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81</xdr:row>
      <xdr:rowOff>0</xdr:rowOff>
    </xdr:from>
    <xdr:ext cx="381000" cy="381000"/>
    <xdr:pic>
      <xdr:nvPicPr>
        <xdr:cNvPr id="324" name="image244.png">
          <a:extLst>
            <a:ext uri="{FF2B5EF4-FFF2-40B4-BE49-F238E27FC236}">
              <a16:creationId xmlns:a16="http://schemas.microsoft.com/office/drawing/2014/main" id="{00000000-0008-0000-1600-000044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81</xdr:row>
      <xdr:rowOff>0</xdr:rowOff>
    </xdr:from>
    <xdr:ext cx="371475" cy="381000"/>
    <xdr:pic>
      <xdr:nvPicPr>
        <xdr:cNvPr id="325" name="image125.png">
          <a:extLst>
            <a:ext uri="{FF2B5EF4-FFF2-40B4-BE49-F238E27FC236}">
              <a16:creationId xmlns:a16="http://schemas.microsoft.com/office/drawing/2014/main" id="{00000000-0008-0000-1600-00004501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0</xdr:col>
      <xdr:colOff>0</xdr:colOff>
      <xdr:row>82</xdr:row>
      <xdr:rowOff>0</xdr:rowOff>
    </xdr:from>
    <xdr:ext cx="381000" cy="381000"/>
    <xdr:pic>
      <xdr:nvPicPr>
        <xdr:cNvPr id="326" name="image275.png">
          <a:extLst>
            <a:ext uri="{FF2B5EF4-FFF2-40B4-BE49-F238E27FC236}">
              <a16:creationId xmlns:a16="http://schemas.microsoft.com/office/drawing/2014/main" id="{00000000-0008-0000-1600-000046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82</xdr:row>
      <xdr:rowOff>0</xdr:rowOff>
    </xdr:from>
    <xdr:ext cx="381000" cy="381000"/>
    <xdr:pic>
      <xdr:nvPicPr>
        <xdr:cNvPr id="327" name="image282.png">
          <a:extLst>
            <a:ext uri="{FF2B5EF4-FFF2-40B4-BE49-F238E27FC236}">
              <a16:creationId xmlns:a16="http://schemas.microsoft.com/office/drawing/2014/main" id="{00000000-0008-0000-1600-000047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82</xdr:row>
      <xdr:rowOff>0</xdr:rowOff>
    </xdr:from>
    <xdr:ext cx="381000" cy="381000"/>
    <xdr:pic>
      <xdr:nvPicPr>
        <xdr:cNvPr id="328" name="image244.png">
          <a:extLst>
            <a:ext uri="{FF2B5EF4-FFF2-40B4-BE49-F238E27FC236}">
              <a16:creationId xmlns:a16="http://schemas.microsoft.com/office/drawing/2014/main" id="{00000000-0008-0000-1600-000048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82</xdr:row>
      <xdr:rowOff>0</xdr:rowOff>
    </xdr:from>
    <xdr:ext cx="381000" cy="381000"/>
    <xdr:pic>
      <xdr:nvPicPr>
        <xdr:cNvPr id="329" name="image138.png">
          <a:extLst>
            <a:ext uri="{FF2B5EF4-FFF2-40B4-BE49-F238E27FC236}">
              <a16:creationId xmlns:a16="http://schemas.microsoft.com/office/drawing/2014/main" id="{00000000-0008-0000-1600-00004901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0</xdr:col>
      <xdr:colOff>0</xdr:colOff>
      <xdr:row>83</xdr:row>
      <xdr:rowOff>0</xdr:rowOff>
    </xdr:from>
    <xdr:ext cx="381000" cy="381000"/>
    <xdr:pic>
      <xdr:nvPicPr>
        <xdr:cNvPr id="330" name="image280.png">
          <a:extLst>
            <a:ext uri="{FF2B5EF4-FFF2-40B4-BE49-F238E27FC236}">
              <a16:creationId xmlns:a16="http://schemas.microsoft.com/office/drawing/2014/main" id="{00000000-0008-0000-1600-00004A01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83</xdr:row>
      <xdr:rowOff>0</xdr:rowOff>
    </xdr:from>
    <xdr:ext cx="381000" cy="381000"/>
    <xdr:pic>
      <xdr:nvPicPr>
        <xdr:cNvPr id="331" name="image272.png">
          <a:extLst>
            <a:ext uri="{FF2B5EF4-FFF2-40B4-BE49-F238E27FC236}">
              <a16:creationId xmlns:a16="http://schemas.microsoft.com/office/drawing/2014/main" id="{00000000-0008-0000-1600-00004B01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83</xdr:row>
      <xdr:rowOff>0</xdr:rowOff>
    </xdr:from>
    <xdr:ext cx="381000" cy="381000"/>
    <xdr:pic>
      <xdr:nvPicPr>
        <xdr:cNvPr id="332" name="image285.png">
          <a:extLst>
            <a:ext uri="{FF2B5EF4-FFF2-40B4-BE49-F238E27FC236}">
              <a16:creationId xmlns:a16="http://schemas.microsoft.com/office/drawing/2014/main" id="{00000000-0008-0000-1600-00004C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83</xdr:row>
      <xdr:rowOff>0</xdr:rowOff>
    </xdr:from>
    <xdr:ext cx="371475" cy="381000"/>
    <xdr:pic>
      <xdr:nvPicPr>
        <xdr:cNvPr id="333" name="image165.png">
          <a:extLst>
            <a:ext uri="{FF2B5EF4-FFF2-40B4-BE49-F238E27FC236}">
              <a16:creationId xmlns:a16="http://schemas.microsoft.com/office/drawing/2014/main" id="{00000000-0008-0000-1600-00004D01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0</xdr:col>
      <xdr:colOff>0</xdr:colOff>
      <xdr:row>84</xdr:row>
      <xdr:rowOff>0</xdr:rowOff>
    </xdr:from>
    <xdr:ext cx="381000" cy="381000"/>
    <xdr:pic>
      <xdr:nvPicPr>
        <xdr:cNvPr id="334" name="image278.png">
          <a:extLst>
            <a:ext uri="{FF2B5EF4-FFF2-40B4-BE49-F238E27FC236}">
              <a16:creationId xmlns:a16="http://schemas.microsoft.com/office/drawing/2014/main" id="{00000000-0008-0000-1600-00004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84</xdr:row>
      <xdr:rowOff>0</xdr:rowOff>
    </xdr:from>
    <xdr:ext cx="381000" cy="381000"/>
    <xdr:pic>
      <xdr:nvPicPr>
        <xdr:cNvPr id="335" name="image272.png">
          <a:extLst>
            <a:ext uri="{FF2B5EF4-FFF2-40B4-BE49-F238E27FC236}">
              <a16:creationId xmlns:a16="http://schemas.microsoft.com/office/drawing/2014/main" id="{00000000-0008-0000-1600-00004F01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84</xdr:row>
      <xdr:rowOff>0</xdr:rowOff>
    </xdr:from>
    <xdr:ext cx="381000" cy="381000"/>
    <xdr:pic>
      <xdr:nvPicPr>
        <xdr:cNvPr id="336" name="image285.png">
          <a:extLst>
            <a:ext uri="{FF2B5EF4-FFF2-40B4-BE49-F238E27FC236}">
              <a16:creationId xmlns:a16="http://schemas.microsoft.com/office/drawing/2014/main" id="{00000000-0008-0000-1600-000050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84</xdr:row>
      <xdr:rowOff>0</xdr:rowOff>
    </xdr:from>
    <xdr:ext cx="371475" cy="381000"/>
    <xdr:pic>
      <xdr:nvPicPr>
        <xdr:cNvPr id="337" name="image156.png">
          <a:extLst>
            <a:ext uri="{FF2B5EF4-FFF2-40B4-BE49-F238E27FC236}">
              <a16:creationId xmlns:a16="http://schemas.microsoft.com/office/drawing/2014/main" id="{00000000-0008-0000-1600-00005101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0</xdr:col>
      <xdr:colOff>0</xdr:colOff>
      <xdr:row>85</xdr:row>
      <xdr:rowOff>0</xdr:rowOff>
    </xdr:from>
    <xdr:ext cx="381000" cy="381000"/>
    <xdr:pic>
      <xdr:nvPicPr>
        <xdr:cNvPr id="338" name="image278.png">
          <a:extLst>
            <a:ext uri="{FF2B5EF4-FFF2-40B4-BE49-F238E27FC236}">
              <a16:creationId xmlns:a16="http://schemas.microsoft.com/office/drawing/2014/main" id="{00000000-0008-0000-1600-000052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85</xdr:row>
      <xdr:rowOff>0</xdr:rowOff>
    </xdr:from>
    <xdr:ext cx="381000" cy="381000"/>
    <xdr:pic>
      <xdr:nvPicPr>
        <xdr:cNvPr id="339" name="image272.png">
          <a:extLst>
            <a:ext uri="{FF2B5EF4-FFF2-40B4-BE49-F238E27FC236}">
              <a16:creationId xmlns:a16="http://schemas.microsoft.com/office/drawing/2014/main" id="{00000000-0008-0000-1600-00005301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85</xdr:row>
      <xdr:rowOff>0</xdr:rowOff>
    </xdr:from>
    <xdr:ext cx="381000" cy="381000"/>
    <xdr:pic>
      <xdr:nvPicPr>
        <xdr:cNvPr id="340" name="image285.png">
          <a:extLst>
            <a:ext uri="{FF2B5EF4-FFF2-40B4-BE49-F238E27FC236}">
              <a16:creationId xmlns:a16="http://schemas.microsoft.com/office/drawing/2014/main" id="{00000000-0008-0000-1600-000054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85</xdr:row>
      <xdr:rowOff>0</xdr:rowOff>
    </xdr:from>
    <xdr:ext cx="381000" cy="381000"/>
    <xdr:pic>
      <xdr:nvPicPr>
        <xdr:cNvPr id="341" name="image173.png">
          <a:extLst>
            <a:ext uri="{FF2B5EF4-FFF2-40B4-BE49-F238E27FC236}">
              <a16:creationId xmlns:a16="http://schemas.microsoft.com/office/drawing/2014/main" id="{00000000-0008-0000-1600-00005501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0</xdr:col>
      <xdr:colOff>0</xdr:colOff>
      <xdr:row>86</xdr:row>
      <xdr:rowOff>0</xdr:rowOff>
    </xdr:from>
    <xdr:ext cx="381000" cy="381000"/>
    <xdr:pic>
      <xdr:nvPicPr>
        <xdr:cNvPr id="342" name="image266.png">
          <a:extLst>
            <a:ext uri="{FF2B5EF4-FFF2-40B4-BE49-F238E27FC236}">
              <a16:creationId xmlns:a16="http://schemas.microsoft.com/office/drawing/2014/main" id="{00000000-0008-0000-1600-00005601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86</xdr:row>
      <xdr:rowOff>0</xdr:rowOff>
    </xdr:from>
    <xdr:ext cx="381000" cy="381000"/>
    <xdr:pic>
      <xdr:nvPicPr>
        <xdr:cNvPr id="343" name="image272.png">
          <a:extLst>
            <a:ext uri="{FF2B5EF4-FFF2-40B4-BE49-F238E27FC236}">
              <a16:creationId xmlns:a16="http://schemas.microsoft.com/office/drawing/2014/main" id="{00000000-0008-0000-1600-00005701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86</xdr:row>
      <xdr:rowOff>0</xdr:rowOff>
    </xdr:from>
    <xdr:ext cx="381000" cy="381000"/>
    <xdr:pic>
      <xdr:nvPicPr>
        <xdr:cNvPr id="344" name="image285.png">
          <a:extLst>
            <a:ext uri="{FF2B5EF4-FFF2-40B4-BE49-F238E27FC236}">
              <a16:creationId xmlns:a16="http://schemas.microsoft.com/office/drawing/2014/main" id="{00000000-0008-0000-1600-000058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86</xdr:row>
      <xdr:rowOff>0</xdr:rowOff>
    </xdr:from>
    <xdr:ext cx="371475" cy="381000"/>
    <xdr:pic>
      <xdr:nvPicPr>
        <xdr:cNvPr id="345" name="image150.png">
          <a:extLst>
            <a:ext uri="{FF2B5EF4-FFF2-40B4-BE49-F238E27FC236}">
              <a16:creationId xmlns:a16="http://schemas.microsoft.com/office/drawing/2014/main" id="{00000000-0008-0000-1600-00005901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0</xdr:col>
      <xdr:colOff>0</xdr:colOff>
      <xdr:row>87</xdr:row>
      <xdr:rowOff>0</xdr:rowOff>
    </xdr:from>
    <xdr:ext cx="381000" cy="381000"/>
    <xdr:pic>
      <xdr:nvPicPr>
        <xdr:cNvPr id="346" name="image278.png">
          <a:extLst>
            <a:ext uri="{FF2B5EF4-FFF2-40B4-BE49-F238E27FC236}">
              <a16:creationId xmlns:a16="http://schemas.microsoft.com/office/drawing/2014/main" id="{00000000-0008-0000-1600-00005A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87</xdr:row>
      <xdr:rowOff>0</xdr:rowOff>
    </xdr:from>
    <xdr:ext cx="381000" cy="381000"/>
    <xdr:pic>
      <xdr:nvPicPr>
        <xdr:cNvPr id="347" name="image272.png">
          <a:extLst>
            <a:ext uri="{FF2B5EF4-FFF2-40B4-BE49-F238E27FC236}">
              <a16:creationId xmlns:a16="http://schemas.microsoft.com/office/drawing/2014/main" id="{00000000-0008-0000-1600-00005B01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87</xdr:row>
      <xdr:rowOff>0</xdr:rowOff>
    </xdr:from>
    <xdr:ext cx="381000" cy="381000"/>
    <xdr:pic>
      <xdr:nvPicPr>
        <xdr:cNvPr id="348" name="image244.png">
          <a:extLst>
            <a:ext uri="{FF2B5EF4-FFF2-40B4-BE49-F238E27FC236}">
              <a16:creationId xmlns:a16="http://schemas.microsoft.com/office/drawing/2014/main" id="{00000000-0008-0000-1600-00005C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87</xdr:row>
      <xdr:rowOff>0</xdr:rowOff>
    </xdr:from>
    <xdr:ext cx="381000" cy="381000"/>
    <xdr:pic>
      <xdr:nvPicPr>
        <xdr:cNvPr id="349" name="image147.png">
          <a:extLst>
            <a:ext uri="{FF2B5EF4-FFF2-40B4-BE49-F238E27FC236}">
              <a16:creationId xmlns:a16="http://schemas.microsoft.com/office/drawing/2014/main" id="{00000000-0008-0000-1600-00005D01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0</xdr:col>
      <xdr:colOff>0</xdr:colOff>
      <xdr:row>88</xdr:row>
      <xdr:rowOff>0</xdr:rowOff>
    </xdr:from>
    <xdr:ext cx="381000" cy="381000"/>
    <xdr:pic>
      <xdr:nvPicPr>
        <xdr:cNvPr id="350" name="image278.png">
          <a:extLst>
            <a:ext uri="{FF2B5EF4-FFF2-40B4-BE49-F238E27FC236}">
              <a16:creationId xmlns:a16="http://schemas.microsoft.com/office/drawing/2014/main" id="{00000000-0008-0000-1600-00005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88</xdr:row>
      <xdr:rowOff>0</xdr:rowOff>
    </xdr:from>
    <xdr:ext cx="381000" cy="381000"/>
    <xdr:pic>
      <xdr:nvPicPr>
        <xdr:cNvPr id="351" name="image272.png">
          <a:extLst>
            <a:ext uri="{FF2B5EF4-FFF2-40B4-BE49-F238E27FC236}">
              <a16:creationId xmlns:a16="http://schemas.microsoft.com/office/drawing/2014/main" id="{00000000-0008-0000-1600-00005F01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88</xdr:row>
      <xdr:rowOff>0</xdr:rowOff>
    </xdr:from>
    <xdr:ext cx="381000" cy="381000"/>
    <xdr:pic>
      <xdr:nvPicPr>
        <xdr:cNvPr id="352" name="image244.png">
          <a:extLst>
            <a:ext uri="{FF2B5EF4-FFF2-40B4-BE49-F238E27FC236}">
              <a16:creationId xmlns:a16="http://schemas.microsoft.com/office/drawing/2014/main" id="{00000000-0008-0000-1600-000060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88</xdr:row>
      <xdr:rowOff>0</xdr:rowOff>
    </xdr:from>
    <xdr:ext cx="381000" cy="381000"/>
    <xdr:pic>
      <xdr:nvPicPr>
        <xdr:cNvPr id="353" name="image147.png">
          <a:extLst>
            <a:ext uri="{FF2B5EF4-FFF2-40B4-BE49-F238E27FC236}">
              <a16:creationId xmlns:a16="http://schemas.microsoft.com/office/drawing/2014/main" id="{00000000-0008-0000-1600-00006101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0</xdr:col>
      <xdr:colOff>0</xdr:colOff>
      <xdr:row>89</xdr:row>
      <xdr:rowOff>0</xdr:rowOff>
    </xdr:from>
    <xdr:ext cx="381000" cy="381000"/>
    <xdr:pic>
      <xdr:nvPicPr>
        <xdr:cNvPr id="354" name="image266.png">
          <a:extLst>
            <a:ext uri="{FF2B5EF4-FFF2-40B4-BE49-F238E27FC236}">
              <a16:creationId xmlns:a16="http://schemas.microsoft.com/office/drawing/2014/main" id="{00000000-0008-0000-1600-00006201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89</xdr:row>
      <xdr:rowOff>0</xdr:rowOff>
    </xdr:from>
    <xdr:ext cx="381000" cy="381000"/>
    <xdr:pic>
      <xdr:nvPicPr>
        <xdr:cNvPr id="355" name="image270.png">
          <a:extLst>
            <a:ext uri="{FF2B5EF4-FFF2-40B4-BE49-F238E27FC236}">
              <a16:creationId xmlns:a16="http://schemas.microsoft.com/office/drawing/2014/main" id="{00000000-0008-0000-1600-000063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89</xdr:row>
      <xdr:rowOff>0</xdr:rowOff>
    </xdr:from>
    <xdr:ext cx="381000" cy="381000"/>
    <xdr:pic>
      <xdr:nvPicPr>
        <xdr:cNvPr id="356" name="image285.png">
          <a:extLst>
            <a:ext uri="{FF2B5EF4-FFF2-40B4-BE49-F238E27FC236}">
              <a16:creationId xmlns:a16="http://schemas.microsoft.com/office/drawing/2014/main" id="{00000000-0008-0000-1600-000064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89</xdr:row>
      <xdr:rowOff>0</xdr:rowOff>
    </xdr:from>
    <xdr:ext cx="381000" cy="381000"/>
    <xdr:pic>
      <xdr:nvPicPr>
        <xdr:cNvPr id="357" name="image154.png">
          <a:extLst>
            <a:ext uri="{FF2B5EF4-FFF2-40B4-BE49-F238E27FC236}">
              <a16:creationId xmlns:a16="http://schemas.microsoft.com/office/drawing/2014/main" id="{00000000-0008-0000-1600-00006501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0</xdr:col>
      <xdr:colOff>0</xdr:colOff>
      <xdr:row>90</xdr:row>
      <xdr:rowOff>0</xdr:rowOff>
    </xdr:from>
    <xdr:ext cx="381000" cy="381000"/>
    <xdr:pic>
      <xdr:nvPicPr>
        <xdr:cNvPr id="358" name="image266.png">
          <a:extLst>
            <a:ext uri="{FF2B5EF4-FFF2-40B4-BE49-F238E27FC236}">
              <a16:creationId xmlns:a16="http://schemas.microsoft.com/office/drawing/2014/main" id="{00000000-0008-0000-1600-00006601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90</xdr:row>
      <xdr:rowOff>0</xdr:rowOff>
    </xdr:from>
    <xdr:ext cx="381000" cy="381000"/>
    <xdr:pic>
      <xdr:nvPicPr>
        <xdr:cNvPr id="359" name="image270.png">
          <a:extLst>
            <a:ext uri="{FF2B5EF4-FFF2-40B4-BE49-F238E27FC236}">
              <a16:creationId xmlns:a16="http://schemas.microsoft.com/office/drawing/2014/main" id="{00000000-0008-0000-1600-000067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90</xdr:row>
      <xdr:rowOff>0</xdr:rowOff>
    </xdr:from>
    <xdr:ext cx="381000" cy="381000"/>
    <xdr:pic>
      <xdr:nvPicPr>
        <xdr:cNvPr id="360" name="image285.png">
          <a:extLst>
            <a:ext uri="{FF2B5EF4-FFF2-40B4-BE49-F238E27FC236}">
              <a16:creationId xmlns:a16="http://schemas.microsoft.com/office/drawing/2014/main" id="{00000000-0008-0000-1600-000068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90</xdr:row>
      <xdr:rowOff>0</xdr:rowOff>
    </xdr:from>
    <xdr:ext cx="381000" cy="381000"/>
    <xdr:pic>
      <xdr:nvPicPr>
        <xdr:cNvPr id="361" name="image154.png">
          <a:extLst>
            <a:ext uri="{FF2B5EF4-FFF2-40B4-BE49-F238E27FC236}">
              <a16:creationId xmlns:a16="http://schemas.microsoft.com/office/drawing/2014/main" id="{00000000-0008-0000-1600-00006901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0</xdr:col>
      <xdr:colOff>0</xdr:colOff>
      <xdr:row>91</xdr:row>
      <xdr:rowOff>0</xdr:rowOff>
    </xdr:from>
    <xdr:ext cx="381000" cy="381000"/>
    <xdr:pic>
      <xdr:nvPicPr>
        <xdr:cNvPr id="362" name="image266.png">
          <a:extLst>
            <a:ext uri="{FF2B5EF4-FFF2-40B4-BE49-F238E27FC236}">
              <a16:creationId xmlns:a16="http://schemas.microsoft.com/office/drawing/2014/main" id="{00000000-0008-0000-1600-00006A01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91</xdr:row>
      <xdr:rowOff>0</xdr:rowOff>
    </xdr:from>
    <xdr:ext cx="381000" cy="381000"/>
    <xdr:pic>
      <xdr:nvPicPr>
        <xdr:cNvPr id="363" name="image270.png">
          <a:extLst>
            <a:ext uri="{FF2B5EF4-FFF2-40B4-BE49-F238E27FC236}">
              <a16:creationId xmlns:a16="http://schemas.microsoft.com/office/drawing/2014/main" id="{00000000-0008-0000-1600-00006B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91</xdr:row>
      <xdr:rowOff>0</xdr:rowOff>
    </xdr:from>
    <xdr:ext cx="381000" cy="381000"/>
    <xdr:pic>
      <xdr:nvPicPr>
        <xdr:cNvPr id="364" name="image285.png">
          <a:extLst>
            <a:ext uri="{FF2B5EF4-FFF2-40B4-BE49-F238E27FC236}">
              <a16:creationId xmlns:a16="http://schemas.microsoft.com/office/drawing/2014/main" id="{00000000-0008-0000-1600-00006C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91</xdr:row>
      <xdr:rowOff>0</xdr:rowOff>
    </xdr:from>
    <xdr:ext cx="381000" cy="381000"/>
    <xdr:pic>
      <xdr:nvPicPr>
        <xdr:cNvPr id="365" name="image153.png">
          <a:extLst>
            <a:ext uri="{FF2B5EF4-FFF2-40B4-BE49-F238E27FC236}">
              <a16:creationId xmlns:a16="http://schemas.microsoft.com/office/drawing/2014/main" id="{00000000-0008-0000-1600-00006D01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0</xdr:col>
      <xdr:colOff>0</xdr:colOff>
      <xdr:row>92</xdr:row>
      <xdr:rowOff>0</xdr:rowOff>
    </xdr:from>
    <xdr:ext cx="381000" cy="381000"/>
    <xdr:pic>
      <xdr:nvPicPr>
        <xdr:cNvPr id="366" name="image278.png">
          <a:extLst>
            <a:ext uri="{FF2B5EF4-FFF2-40B4-BE49-F238E27FC236}">
              <a16:creationId xmlns:a16="http://schemas.microsoft.com/office/drawing/2014/main" id="{00000000-0008-0000-1600-00006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92</xdr:row>
      <xdr:rowOff>0</xdr:rowOff>
    </xdr:from>
    <xdr:ext cx="381000" cy="381000"/>
    <xdr:pic>
      <xdr:nvPicPr>
        <xdr:cNvPr id="367" name="image270.png">
          <a:extLst>
            <a:ext uri="{FF2B5EF4-FFF2-40B4-BE49-F238E27FC236}">
              <a16:creationId xmlns:a16="http://schemas.microsoft.com/office/drawing/2014/main" id="{00000000-0008-0000-1600-00006F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92</xdr:row>
      <xdr:rowOff>0</xdr:rowOff>
    </xdr:from>
    <xdr:ext cx="381000" cy="381000"/>
    <xdr:pic>
      <xdr:nvPicPr>
        <xdr:cNvPr id="368" name="image285.png">
          <a:extLst>
            <a:ext uri="{FF2B5EF4-FFF2-40B4-BE49-F238E27FC236}">
              <a16:creationId xmlns:a16="http://schemas.microsoft.com/office/drawing/2014/main" id="{00000000-0008-0000-1600-000070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92</xdr:row>
      <xdr:rowOff>0</xdr:rowOff>
    </xdr:from>
    <xdr:ext cx="381000" cy="381000"/>
    <xdr:pic>
      <xdr:nvPicPr>
        <xdr:cNvPr id="369" name="image167.png">
          <a:extLst>
            <a:ext uri="{FF2B5EF4-FFF2-40B4-BE49-F238E27FC236}">
              <a16:creationId xmlns:a16="http://schemas.microsoft.com/office/drawing/2014/main" id="{00000000-0008-0000-1600-00007101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0</xdr:col>
      <xdr:colOff>0</xdr:colOff>
      <xdr:row>93</xdr:row>
      <xdr:rowOff>0</xdr:rowOff>
    </xdr:from>
    <xdr:ext cx="381000" cy="381000"/>
    <xdr:pic>
      <xdr:nvPicPr>
        <xdr:cNvPr id="370" name="image280.png">
          <a:extLst>
            <a:ext uri="{FF2B5EF4-FFF2-40B4-BE49-F238E27FC236}">
              <a16:creationId xmlns:a16="http://schemas.microsoft.com/office/drawing/2014/main" id="{00000000-0008-0000-1600-00007201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93</xdr:row>
      <xdr:rowOff>0</xdr:rowOff>
    </xdr:from>
    <xdr:ext cx="381000" cy="381000"/>
    <xdr:pic>
      <xdr:nvPicPr>
        <xdr:cNvPr id="371" name="image270.png">
          <a:extLst>
            <a:ext uri="{FF2B5EF4-FFF2-40B4-BE49-F238E27FC236}">
              <a16:creationId xmlns:a16="http://schemas.microsoft.com/office/drawing/2014/main" id="{00000000-0008-0000-1600-000073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93</xdr:row>
      <xdr:rowOff>0</xdr:rowOff>
    </xdr:from>
    <xdr:ext cx="381000" cy="381000"/>
    <xdr:pic>
      <xdr:nvPicPr>
        <xdr:cNvPr id="372" name="image285.png">
          <a:extLst>
            <a:ext uri="{FF2B5EF4-FFF2-40B4-BE49-F238E27FC236}">
              <a16:creationId xmlns:a16="http://schemas.microsoft.com/office/drawing/2014/main" id="{00000000-0008-0000-1600-000074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93</xdr:row>
      <xdr:rowOff>0</xdr:rowOff>
    </xdr:from>
    <xdr:ext cx="381000" cy="381000"/>
    <xdr:pic>
      <xdr:nvPicPr>
        <xdr:cNvPr id="373" name="image158.png">
          <a:extLst>
            <a:ext uri="{FF2B5EF4-FFF2-40B4-BE49-F238E27FC236}">
              <a16:creationId xmlns:a16="http://schemas.microsoft.com/office/drawing/2014/main" id="{00000000-0008-0000-1600-00007501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0</xdr:col>
      <xdr:colOff>0</xdr:colOff>
      <xdr:row>94</xdr:row>
      <xdr:rowOff>0</xdr:rowOff>
    </xdr:from>
    <xdr:ext cx="381000" cy="381000"/>
    <xdr:pic>
      <xdr:nvPicPr>
        <xdr:cNvPr id="374" name="image280.png">
          <a:extLst>
            <a:ext uri="{FF2B5EF4-FFF2-40B4-BE49-F238E27FC236}">
              <a16:creationId xmlns:a16="http://schemas.microsoft.com/office/drawing/2014/main" id="{00000000-0008-0000-1600-00007601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94</xdr:row>
      <xdr:rowOff>0</xdr:rowOff>
    </xdr:from>
    <xdr:ext cx="381000" cy="381000"/>
    <xdr:pic>
      <xdr:nvPicPr>
        <xdr:cNvPr id="375" name="image270.png">
          <a:extLst>
            <a:ext uri="{FF2B5EF4-FFF2-40B4-BE49-F238E27FC236}">
              <a16:creationId xmlns:a16="http://schemas.microsoft.com/office/drawing/2014/main" id="{00000000-0008-0000-1600-00007701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94</xdr:row>
      <xdr:rowOff>0</xdr:rowOff>
    </xdr:from>
    <xdr:ext cx="381000" cy="381000"/>
    <xdr:pic>
      <xdr:nvPicPr>
        <xdr:cNvPr id="376" name="image285.png">
          <a:extLst>
            <a:ext uri="{FF2B5EF4-FFF2-40B4-BE49-F238E27FC236}">
              <a16:creationId xmlns:a16="http://schemas.microsoft.com/office/drawing/2014/main" id="{00000000-0008-0000-1600-000078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94</xdr:row>
      <xdr:rowOff>0</xdr:rowOff>
    </xdr:from>
    <xdr:ext cx="371475" cy="381000"/>
    <xdr:pic>
      <xdr:nvPicPr>
        <xdr:cNvPr id="377" name="image166.png">
          <a:extLst>
            <a:ext uri="{FF2B5EF4-FFF2-40B4-BE49-F238E27FC236}">
              <a16:creationId xmlns:a16="http://schemas.microsoft.com/office/drawing/2014/main" id="{00000000-0008-0000-1600-00007901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0</xdr:col>
      <xdr:colOff>0</xdr:colOff>
      <xdr:row>95</xdr:row>
      <xdr:rowOff>0</xdr:rowOff>
    </xdr:from>
    <xdr:ext cx="381000" cy="381000"/>
    <xdr:pic>
      <xdr:nvPicPr>
        <xdr:cNvPr id="378" name="image266.png">
          <a:extLst>
            <a:ext uri="{FF2B5EF4-FFF2-40B4-BE49-F238E27FC236}">
              <a16:creationId xmlns:a16="http://schemas.microsoft.com/office/drawing/2014/main" id="{00000000-0008-0000-1600-00007A01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95</xdr:row>
      <xdr:rowOff>0</xdr:rowOff>
    </xdr:from>
    <xdr:ext cx="381000" cy="381000"/>
    <xdr:pic>
      <xdr:nvPicPr>
        <xdr:cNvPr id="379" name="image283.png">
          <a:extLst>
            <a:ext uri="{FF2B5EF4-FFF2-40B4-BE49-F238E27FC236}">
              <a16:creationId xmlns:a16="http://schemas.microsoft.com/office/drawing/2014/main" id="{00000000-0008-0000-1600-00007B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95</xdr:row>
      <xdr:rowOff>0</xdr:rowOff>
    </xdr:from>
    <xdr:ext cx="381000" cy="381000"/>
    <xdr:pic>
      <xdr:nvPicPr>
        <xdr:cNvPr id="380" name="image285.png">
          <a:extLst>
            <a:ext uri="{FF2B5EF4-FFF2-40B4-BE49-F238E27FC236}">
              <a16:creationId xmlns:a16="http://schemas.microsoft.com/office/drawing/2014/main" id="{00000000-0008-0000-1600-00007C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95</xdr:row>
      <xdr:rowOff>0</xdr:rowOff>
    </xdr:from>
    <xdr:ext cx="381000" cy="381000"/>
    <xdr:pic>
      <xdr:nvPicPr>
        <xdr:cNvPr id="381" name="image176.png">
          <a:extLst>
            <a:ext uri="{FF2B5EF4-FFF2-40B4-BE49-F238E27FC236}">
              <a16:creationId xmlns:a16="http://schemas.microsoft.com/office/drawing/2014/main" id="{00000000-0008-0000-1600-00007D01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0</xdr:col>
      <xdr:colOff>0</xdr:colOff>
      <xdr:row>96</xdr:row>
      <xdr:rowOff>0</xdr:rowOff>
    </xdr:from>
    <xdr:ext cx="381000" cy="381000"/>
    <xdr:pic>
      <xdr:nvPicPr>
        <xdr:cNvPr id="382" name="image266.png">
          <a:extLst>
            <a:ext uri="{FF2B5EF4-FFF2-40B4-BE49-F238E27FC236}">
              <a16:creationId xmlns:a16="http://schemas.microsoft.com/office/drawing/2014/main" id="{00000000-0008-0000-1600-00007E01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96</xdr:row>
      <xdr:rowOff>0</xdr:rowOff>
    </xdr:from>
    <xdr:ext cx="381000" cy="381000"/>
    <xdr:pic>
      <xdr:nvPicPr>
        <xdr:cNvPr id="383" name="image283.png">
          <a:extLst>
            <a:ext uri="{FF2B5EF4-FFF2-40B4-BE49-F238E27FC236}">
              <a16:creationId xmlns:a16="http://schemas.microsoft.com/office/drawing/2014/main" id="{00000000-0008-0000-1600-00007F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96</xdr:row>
      <xdr:rowOff>0</xdr:rowOff>
    </xdr:from>
    <xdr:ext cx="381000" cy="381000"/>
    <xdr:pic>
      <xdr:nvPicPr>
        <xdr:cNvPr id="384" name="image285.png">
          <a:extLst>
            <a:ext uri="{FF2B5EF4-FFF2-40B4-BE49-F238E27FC236}">
              <a16:creationId xmlns:a16="http://schemas.microsoft.com/office/drawing/2014/main" id="{00000000-0008-0000-1600-000080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96</xdr:row>
      <xdr:rowOff>0</xdr:rowOff>
    </xdr:from>
    <xdr:ext cx="381000" cy="381000"/>
    <xdr:pic>
      <xdr:nvPicPr>
        <xdr:cNvPr id="385" name="image176.png">
          <a:extLst>
            <a:ext uri="{FF2B5EF4-FFF2-40B4-BE49-F238E27FC236}">
              <a16:creationId xmlns:a16="http://schemas.microsoft.com/office/drawing/2014/main" id="{00000000-0008-0000-1600-00008101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0</xdr:col>
      <xdr:colOff>0</xdr:colOff>
      <xdr:row>97</xdr:row>
      <xdr:rowOff>0</xdr:rowOff>
    </xdr:from>
    <xdr:ext cx="381000" cy="381000"/>
    <xdr:pic>
      <xdr:nvPicPr>
        <xdr:cNvPr id="386" name="image278.png">
          <a:extLst>
            <a:ext uri="{FF2B5EF4-FFF2-40B4-BE49-F238E27FC236}">
              <a16:creationId xmlns:a16="http://schemas.microsoft.com/office/drawing/2014/main" id="{00000000-0008-0000-1600-000082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97</xdr:row>
      <xdr:rowOff>0</xdr:rowOff>
    </xdr:from>
    <xdr:ext cx="381000" cy="381000"/>
    <xdr:pic>
      <xdr:nvPicPr>
        <xdr:cNvPr id="387" name="image283.png">
          <a:extLst>
            <a:ext uri="{FF2B5EF4-FFF2-40B4-BE49-F238E27FC236}">
              <a16:creationId xmlns:a16="http://schemas.microsoft.com/office/drawing/2014/main" id="{00000000-0008-0000-1600-000083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97</xdr:row>
      <xdr:rowOff>0</xdr:rowOff>
    </xdr:from>
    <xdr:ext cx="381000" cy="381000"/>
    <xdr:pic>
      <xdr:nvPicPr>
        <xdr:cNvPr id="388" name="image285.png">
          <a:extLst>
            <a:ext uri="{FF2B5EF4-FFF2-40B4-BE49-F238E27FC236}">
              <a16:creationId xmlns:a16="http://schemas.microsoft.com/office/drawing/2014/main" id="{00000000-0008-0000-1600-000084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97</xdr:row>
      <xdr:rowOff>0</xdr:rowOff>
    </xdr:from>
    <xdr:ext cx="381000" cy="381000"/>
    <xdr:pic>
      <xdr:nvPicPr>
        <xdr:cNvPr id="389" name="image161.png">
          <a:extLst>
            <a:ext uri="{FF2B5EF4-FFF2-40B4-BE49-F238E27FC236}">
              <a16:creationId xmlns:a16="http://schemas.microsoft.com/office/drawing/2014/main" id="{00000000-0008-0000-1600-00008501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0</xdr:col>
      <xdr:colOff>0</xdr:colOff>
      <xdr:row>98</xdr:row>
      <xdr:rowOff>0</xdr:rowOff>
    </xdr:from>
    <xdr:ext cx="381000" cy="381000"/>
    <xdr:pic>
      <xdr:nvPicPr>
        <xdr:cNvPr id="390" name="image278.png">
          <a:extLst>
            <a:ext uri="{FF2B5EF4-FFF2-40B4-BE49-F238E27FC236}">
              <a16:creationId xmlns:a16="http://schemas.microsoft.com/office/drawing/2014/main" id="{00000000-0008-0000-1600-000086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98</xdr:row>
      <xdr:rowOff>0</xdr:rowOff>
    </xdr:from>
    <xdr:ext cx="381000" cy="381000"/>
    <xdr:pic>
      <xdr:nvPicPr>
        <xdr:cNvPr id="391" name="image283.png">
          <a:extLst>
            <a:ext uri="{FF2B5EF4-FFF2-40B4-BE49-F238E27FC236}">
              <a16:creationId xmlns:a16="http://schemas.microsoft.com/office/drawing/2014/main" id="{00000000-0008-0000-1600-000087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98</xdr:row>
      <xdr:rowOff>0</xdr:rowOff>
    </xdr:from>
    <xdr:ext cx="381000" cy="381000"/>
    <xdr:pic>
      <xdr:nvPicPr>
        <xdr:cNvPr id="392" name="image285.png">
          <a:extLst>
            <a:ext uri="{FF2B5EF4-FFF2-40B4-BE49-F238E27FC236}">
              <a16:creationId xmlns:a16="http://schemas.microsoft.com/office/drawing/2014/main" id="{00000000-0008-0000-1600-000088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98</xdr:row>
      <xdr:rowOff>0</xdr:rowOff>
    </xdr:from>
    <xdr:ext cx="371475" cy="381000"/>
    <xdr:pic>
      <xdr:nvPicPr>
        <xdr:cNvPr id="393" name="image168.png">
          <a:extLst>
            <a:ext uri="{FF2B5EF4-FFF2-40B4-BE49-F238E27FC236}">
              <a16:creationId xmlns:a16="http://schemas.microsoft.com/office/drawing/2014/main" id="{00000000-0008-0000-1600-00008901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0</xdr:col>
      <xdr:colOff>0</xdr:colOff>
      <xdr:row>99</xdr:row>
      <xdr:rowOff>0</xdr:rowOff>
    </xdr:from>
    <xdr:ext cx="381000" cy="381000"/>
    <xdr:pic>
      <xdr:nvPicPr>
        <xdr:cNvPr id="394" name="image278.png">
          <a:extLst>
            <a:ext uri="{FF2B5EF4-FFF2-40B4-BE49-F238E27FC236}">
              <a16:creationId xmlns:a16="http://schemas.microsoft.com/office/drawing/2014/main" id="{00000000-0008-0000-1600-00008A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99</xdr:row>
      <xdr:rowOff>0</xdr:rowOff>
    </xdr:from>
    <xdr:ext cx="381000" cy="381000"/>
    <xdr:pic>
      <xdr:nvPicPr>
        <xdr:cNvPr id="395" name="image283.png">
          <a:extLst>
            <a:ext uri="{FF2B5EF4-FFF2-40B4-BE49-F238E27FC236}">
              <a16:creationId xmlns:a16="http://schemas.microsoft.com/office/drawing/2014/main" id="{00000000-0008-0000-1600-00008B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99</xdr:row>
      <xdr:rowOff>0</xdr:rowOff>
    </xdr:from>
    <xdr:ext cx="381000" cy="381000"/>
    <xdr:pic>
      <xdr:nvPicPr>
        <xdr:cNvPr id="396" name="image285.png">
          <a:extLst>
            <a:ext uri="{FF2B5EF4-FFF2-40B4-BE49-F238E27FC236}">
              <a16:creationId xmlns:a16="http://schemas.microsoft.com/office/drawing/2014/main" id="{00000000-0008-0000-1600-00008C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99</xdr:row>
      <xdr:rowOff>0</xdr:rowOff>
    </xdr:from>
    <xdr:ext cx="381000" cy="381000"/>
    <xdr:pic>
      <xdr:nvPicPr>
        <xdr:cNvPr id="397" name="image170.png">
          <a:extLst>
            <a:ext uri="{FF2B5EF4-FFF2-40B4-BE49-F238E27FC236}">
              <a16:creationId xmlns:a16="http://schemas.microsoft.com/office/drawing/2014/main" id="{00000000-0008-0000-1600-00008D01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0</xdr:col>
      <xdr:colOff>0</xdr:colOff>
      <xdr:row>100</xdr:row>
      <xdr:rowOff>0</xdr:rowOff>
    </xdr:from>
    <xdr:ext cx="381000" cy="381000"/>
    <xdr:pic>
      <xdr:nvPicPr>
        <xdr:cNvPr id="398" name="image278.png">
          <a:extLst>
            <a:ext uri="{FF2B5EF4-FFF2-40B4-BE49-F238E27FC236}">
              <a16:creationId xmlns:a16="http://schemas.microsoft.com/office/drawing/2014/main" id="{00000000-0008-0000-1600-00008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100</xdr:row>
      <xdr:rowOff>0</xdr:rowOff>
    </xdr:from>
    <xdr:ext cx="381000" cy="381000"/>
    <xdr:pic>
      <xdr:nvPicPr>
        <xdr:cNvPr id="399" name="image284.png">
          <a:extLst>
            <a:ext uri="{FF2B5EF4-FFF2-40B4-BE49-F238E27FC236}">
              <a16:creationId xmlns:a16="http://schemas.microsoft.com/office/drawing/2014/main" id="{00000000-0008-0000-1600-00008F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100</xdr:row>
      <xdr:rowOff>0</xdr:rowOff>
    </xdr:from>
    <xdr:ext cx="381000" cy="381000"/>
    <xdr:pic>
      <xdr:nvPicPr>
        <xdr:cNvPr id="400" name="image285.png">
          <a:extLst>
            <a:ext uri="{FF2B5EF4-FFF2-40B4-BE49-F238E27FC236}">
              <a16:creationId xmlns:a16="http://schemas.microsoft.com/office/drawing/2014/main" id="{00000000-0008-0000-1600-000090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100</xdr:row>
      <xdr:rowOff>0</xdr:rowOff>
    </xdr:from>
    <xdr:ext cx="381000" cy="381000"/>
    <xdr:pic>
      <xdr:nvPicPr>
        <xdr:cNvPr id="401" name="image174.png">
          <a:extLst>
            <a:ext uri="{FF2B5EF4-FFF2-40B4-BE49-F238E27FC236}">
              <a16:creationId xmlns:a16="http://schemas.microsoft.com/office/drawing/2014/main" id="{00000000-0008-0000-1600-00009101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0</xdr:col>
      <xdr:colOff>0</xdr:colOff>
      <xdr:row>101</xdr:row>
      <xdr:rowOff>0</xdr:rowOff>
    </xdr:from>
    <xdr:ext cx="381000" cy="381000"/>
    <xdr:pic>
      <xdr:nvPicPr>
        <xdr:cNvPr id="402" name="image280.png">
          <a:extLst>
            <a:ext uri="{FF2B5EF4-FFF2-40B4-BE49-F238E27FC236}">
              <a16:creationId xmlns:a16="http://schemas.microsoft.com/office/drawing/2014/main" id="{00000000-0008-0000-1600-00009201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101</xdr:row>
      <xdr:rowOff>0</xdr:rowOff>
    </xdr:from>
    <xdr:ext cx="381000" cy="381000"/>
    <xdr:pic>
      <xdr:nvPicPr>
        <xdr:cNvPr id="403" name="image284.png">
          <a:extLst>
            <a:ext uri="{FF2B5EF4-FFF2-40B4-BE49-F238E27FC236}">
              <a16:creationId xmlns:a16="http://schemas.microsoft.com/office/drawing/2014/main" id="{00000000-0008-0000-1600-000093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101</xdr:row>
      <xdr:rowOff>0</xdr:rowOff>
    </xdr:from>
    <xdr:ext cx="381000" cy="381000"/>
    <xdr:pic>
      <xdr:nvPicPr>
        <xdr:cNvPr id="404" name="image285.png">
          <a:extLst>
            <a:ext uri="{FF2B5EF4-FFF2-40B4-BE49-F238E27FC236}">
              <a16:creationId xmlns:a16="http://schemas.microsoft.com/office/drawing/2014/main" id="{00000000-0008-0000-1600-000094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101</xdr:row>
      <xdr:rowOff>0</xdr:rowOff>
    </xdr:from>
    <xdr:ext cx="381000" cy="381000"/>
    <xdr:pic>
      <xdr:nvPicPr>
        <xdr:cNvPr id="405" name="image171.png">
          <a:extLst>
            <a:ext uri="{FF2B5EF4-FFF2-40B4-BE49-F238E27FC236}">
              <a16:creationId xmlns:a16="http://schemas.microsoft.com/office/drawing/2014/main" id="{00000000-0008-0000-1600-00009501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0</xdr:col>
      <xdr:colOff>0</xdr:colOff>
      <xdr:row>102</xdr:row>
      <xdr:rowOff>0</xdr:rowOff>
    </xdr:from>
    <xdr:ext cx="381000" cy="381000"/>
    <xdr:pic>
      <xdr:nvPicPr>
        <xdr:cNvPr id="406" name="image280.png">
          <a:extLst>
            <a:ext uri="{FF2B5EF4-FFF2-40B4-BE49-F238E27FC236}">
              <a16:creationId xmlns:a16="http://schemas.microsoft.com/office/drawing/2014/main" id="{00000000-0008-0000-1600-00009601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102</xdr:row>
      <xdr:rowOff>0</xdr:rowOff>
    </xdr:from>
    <xdr:ext cx="381000" cy="381000"/>
    <xdr:pic>
      <xdr:nvPicPr>
        <xdr:cNvPr id="407" name="image284.png">
          <a:extLst>
            <a:ext uri="{FF2B5EF4-FFF2-40B4-BE49-F238E27FC236}">
              <a16:creationId xmlns:a16="http://schemas.microsoft.com/office/drawing/2014/main" id="{00000000-0008-0000-1600-000097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102</xdr:row>
      <xdr:rowOff>0</xdr:rowOff>
    </xdr:from>
    <xdr:ext cx="381000" cy="381000"/>
    <xdr:pic>
      <xdr:nvPicPr>
        <xdr:cNvPr id="408" name="image285.png">
          <a:extLst>
            <a:ext uri="{FF2B5EF4-FFF2-40B4-BE49-F238E27FC236}">
              <a16:creationId xmlns:a16="http://schemas.microsoft.com/office/drawing/2014/main" id="{00000000-0008-0000-1600-000098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102</xdr:row>
      <xdr:rowOff>0</xdr:rowOff>
    </xdr:from>
    <xdr:ext cx="381000" cy="381000"/>
    <xdr:pic>
      <xdr:nvPicPr>
        <xdr:cNvPr id="409" name="image171.png">
          <a:extLst>
            <a:ext uri="{FF2B5EF4-FFF2-40B4-BE49-F238E27FC236}">
              <a16:creationId xmlns:a16="http://schemas.microsoft.com/office/drawing/2014/main" id="{00000000-0008-0000-1600-00009901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0</xdr:col>
      <xdr:colOff>0</xdr:colOff>
      <xdr:row>103</xdr:row>
      <xdr:rowOff>0</xdr:rowOff>
    </xdr:from>
    <xdr:ext cx="381000" cy="381000"/>
    <xdr:pic>
      <xdr:nvPicPr>
        <xdr:cNvPr id="410" name="image266.png">
          <a:extLst>
            <a:ext uri="{FF2B5EF4-FFF2-40B4-BE49-F238E27FC236}">
              <a16:creationId xmlns:a16="http://schemas.microsoft.com/office/drawing/2014/main" id="{00000000-0008-0000-1600-00009A01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103</xdr:row>
      <xdr:rowOff>0</xdr:rowOff>
    </xdr:from>
    <xdr:ext cx="381000" cy="381000"/>
    <xdr:pic>
      <xdr:nvPicPr>
        <xdr:cNvPr id="411" name="image284.png">
          <a:extLst>
            <a:ext uri="{FF2B5EF4-FFF2-40B4-BE49-F238E27FC236}">
              <a16:creationId xmlns:a16="http://schemas.microsoft.com/office/drawing/2014/main" id="{00000000-0008-0000-1600-00009B01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103</xdr:row>
      <xdr:rowOff>0</xdr:rowOff>
    </xdr:from>
    <xdr:ext cx="381000" cy="381000"/>
    <xdr:pic>
      <xdr:nvPicPr>
        <xdr:cNvPr id="412" name="image285.png">
          <a:extLst>
            <a:ext uri="{FF2B5EF4-FFF2-40B4-BE49-F238E27FC236}">
              <a16:creationId xmlns:a16="http://schemas.microsoft.com/office/drawing/2014/main" id="{00000000-0008-0000-1600-00009C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103</xdr:row>
      <xdr:rowOff>0</xdr:rowOff>
    </xdr:from>
    <xdr:ext cx="381000" cy="381000"/>
    <xdr:pic>
      <xdr:nvPicPr>
        <xdr:cNvPr id="413" name="image175.png">
          <a:extLst>
            <a:ext uri="{FF2B5EF4-FFF2-40B4-BE49-F238E27FC236}">
              <a16:creationId xmlns:a16="http://schemas.microsoft.com/office/drawing/2014/main" id="{00000000-0008-0000-1600-00009D01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0</xdr:col>
      <xdr:colOff>0</xdr:colOff>
      <xdr:row>104</xdr:row>
      <xdr:rowOff>0</xdr:rowOff>
    </xdr:from>
    <xdr:ext cx="381000" cy="381000"/>
    <xdr:pic>
      <xdr:nvPicPr>
        <xdr:cNvPr id="414" name="image280.png">
          <a:extLst>
            <a:ext uri="{FF2B5EF4-FFF2-40B4-BE49-F238E27FC236}">
              <a16:creationId xmlns:a16="http://schemas.microsoft.com/office/drawing/2014/main" id="{00000000-0008-0000-1600-00009E01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104</xdr:row>
      <xdr:rowOff>0</xdr:rowOff>
    </xdr:from>
    <xdr:ext cx="381000" cy="381000"/>
    <xdr:pic>
      <xdr:nvPicPr>
        <xdr:cNvPr id="415" name="image282.png">
          <a:extLst>
            <a:ext uri="{FF2B5EF4-FFF2-40B4-BE49-F238E27FC236}">
              <a16:creationId xmlns:a16="http://schemas.microsoft.com/office/drawing/2014/main" id="{00000000-0008-0000-1600-00009F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104</xdr:row>
      <xdr:rowOff>0</xdr:rowOff>
    </xdr:from>
    <xdr:ext cx="381000" cy="381000"/>
    <xdr:pic>
      <xdr:nvPicPr>
        <xdr:cNvPr id="416" name="image285.png">
          <a:extLst>
            <a:ext uri="{FF2B5EF4-FFF2-40B4-BE49-F238E27FC236}">
              <a16:creationId xmlns:a16="http://schemas.microsoft.com/office/drawing/2014/main" id="{00000000-0008-0000-1600-0000A0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104</xdr:row>
      <xdr:rowOff>0</xdr:rowOff>
    </xdr:from>
    <xdr:ext cx="381000" cy="381000"/>
    <xdr:pic>
      <xdr:nvPicPr>
        <xdr:cNvPr id="417" name="image172.png">
          <a:extLst>
            <a:ext uri="{FF2B5EF4-FFF2-40B4-BE49-F238E27FC236}">
              <a16:creationId xmlns:a16="http://schemas.microsoft.com/office/drawing/2014/main" id="{00000000-0008-0000-1600-0000A101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0</xdr:col>
      <xdr:colOff>0</xdr:colOff>
      <xdr:row>105</xdr:row>
      <xdr:rowOff>0</xdr:rowOff>
    </xdr:from>
    <xdr:ext cx="381000" cy="381000"/>
    <xdr:pic>
      <xdr:nvPicPr>
        <xdr:cNvPr id="418" name="image278.png">
          <a:extLst>
            <a:ext uri="{FF2B5EF4-FFF2-40B4-BE49-F238E27FC236}">
              <a16:creationId xmlns:a16="http://schemas.microsoft.com/office/drawing/2014/main" id="{00000000-0008-0000-1600-0000A2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105</xdr:row>
      <xdr:rowOff>0</xdr:rowOff>
    </xdr:from>
    <xdr:ext cx="381000" cy="381000"/>
    <xdr:pic>
      <xdr:nvPicPr>
        <xdr:cNvPr id="419" name="image282.png">
          <a:extLst>
            <a:ext uri="{FF2B5EF4-FFF2-40B4-BE49-F238E27FC236}">
              <a16:creationId xmlns:a16="http://schemas.microsoft.com/office/drawing/2014/main" id="{00000000-0008-0000-1600-0000A3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105</xdr:row>
      <xdr:rowOff>0</xdr:rowOff>
    </xdr:from>
    <xdr:ext cx="381000" cy="381000"/>
    <xdr:pic>
      <xdr:nvPicPr>
        <xdr:cNvPr id="420" name="image285.png">
          <a:extLst>
            <a:ext uri="{FF2B5EF4-FFF2-40B4-BE49-F238E27FC236}">
              <a16:creationId xmlns:a16="http://schemas.microsoft.com/office/drawing/2014/main" id="{00000000-0008-0000-1600-0000A4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105</xdr:row>
      <xdr:rowOff>0</xdr:rowOff>
    </xdr:from>
    <xdr:ext cx="371475" cy="381000"/>
    <xdr:pic>
      <xdr:nvPicPr>
        <xdr:cNvPr id="421" name="image164.png">
          <a:extLst>
            <a:ext uri="{FF2B5EF4-FFF2-40B4-BE49-F238E27FC236}">
              <a16:creationId xmlns:a16="http://schemas.microsoft.com/office/drawing/2014/main" id="{00000000-0008-0000-1600-0000A501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0</xdr:col>
      <xdr:colOff>0</xdr:colOff>
      <xdr:row>106</xdr:row>
      <xdr:rowOff>0</xdr:rowOff>
    </xdr:from>
    <xdr:ext cx="381000" cy="381000"/>
    <xdr:pic>
      <xdr:nvPicPr>
        <xdr:cNvPr id="422" name="image266.png">
          <a:extLst>
            <a:ext uri="{FF2B5EF4-FFF2-40B4-BE49-F238E27FC236}">
              <a16:creationId xmlns:a16="http://schemas.microsoft.com/office/drawing/2014/main" id="{00000000-0008-0000-1600-0000A601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106</xdr:row>
      <xdr:rowOff>0</xdr:rowOff>
    </xdr:from>
    <xdr:ext cx="381000" cy="381000"/>
    <xdr:pic>
      <xdr:nvPicPr>
        <xdr:cNvPr id="423" name="image282.png">
          <a:extLst>
            <a:ext uri="{FF2B5EF4-FFF2-40B4-BE49-F238E27FC236}">
              <a16:creationId xmlns:a16="http://schemas.microsoft.com/office/drawing/2014/main" id="{00000000-0008-0000-1600-0000A7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106</xdr:row>
      <xdr:rowOff>0</xdr:rowOff>
    </xdr:from>
    <xdr:ext cx="381000" cy="381000"/>
    <xdr:pic>
      <xdr:nvPicPr>
        <xdr:cNvPr id="424" name="image285.png">
          <a:extLst>
            <a:ext uri="{FF2B5EF4-FFF2-40B4-BE49-F238E27FC236}">
              <a16:creationId xmlns:a16="http://schemas.microsoft.com/office/drawing/2014/main" id="{00000000-0008-0000-1600-0000A801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106</xdr:row>
      <xdr:rowOff>0</xdr:rowOff>
    </xdr:from>
    <xdr:ext cx="381000" cy="381000"/>
    <xdr:pic>
      <xdr:nvPicPr>
        <xdr:cNvPr id="425" name="image169.png">
          <a:extLst>
            <a:ext uri="{FF2B5EF4-FFF2-40B4-BE49-F238E27FC236}">
              <a16:creationId xmlns:a16="http://schemas.microsoft.com/office/drawing/2014/main" id="{00000000-0008-0000-1600-0000A901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0</xdr:col>
      <xdr:colOff>0</xdr:colOff>
      <xdr:row>107</xdr:row>
      <xdr:rowOff>0</xdr:rowOff>
    </xdr:from>
    <xdr:ext cx="762000" cy="381000"/>
    <xdr:pic>
      <xdr:nvPicPr>
        <xdr:cNvPr id="426" name="image286.png">
          <a:extLst>
            <a:ext uri="{FF2B5EF4-FFF2-40B4-BE49-F238E27FC236}">
              <a16:creationId xmlns:a16="http://schemas.microsoft.com/office/drawing/2014/main" id="{00000000-0008-0000-1600-0000AA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107</xdr:row>
      <xdr:rowOff>0</xdr:rowOff>
    </xdr:from>
    <xdr:ext cx="381000" cy="381000"/>
    <xdr:pic>
      <xdr:nvPicPr>
        <xdr:cNvPr id="427" name="image288.png">
          <a:extLst>
            <a:ext uri="{FF2B5EF4-FFF2-40B4-BE49-F238E27FC236}">
              <a16:creationId xmlns:a16="http://schemas.microsoft.com/office/drawing/2014/main" id="{00000000-0008-0000-1600-0000AB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107</xdr:row>
      <xdr:rowOff>0</xdr:rowOff>
    </xdr:from>
    <xdr:ext cx="381000" cy="381000"/>
    <xdr:pic>
      <xdr:nvPicPr>
        <xdr:cNvPr id="428" name="image287.png">
          <a:extLst>
            <a:ext uri="{FF2B5EF4-FFF2-40B4-BE49-F238E27FC236}">
              <a16:creationId xmlns:a16="http://schemas.microsoft.com/office/drawing/2014/main" id="{00000000-0008-0000-1600-0000AC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107</xdr:row>
      <xdr:rowOff>0</xdr:rowOff>
    </xdr:from>
    <xdr:ext cx="381000" cy="381000"/>
    <xdr:pic>
      <xdr:nvPicPr>
        <xdr:cNvPr id="429" name="image49.jpg">
          <a:extLst>
            <a:ext uri="{FF2B5EF4-FFF2-40B4-BE49-F238E27FC236}">
              <a16:creationId xmlns:a16="http://schemas.microsoft.com/office/drawing/2014/main" id="{00000000-0008-0000-1600-0000AD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108</xdr:row>
      <xdr:rowOff>0</xdr:rowOff>
    </xdr:from>
    <xdr:ext cx="762000" cy="381000"/>
    <xdr:pic>
      <xdr:nvPicPr>
        <xdr:cNvPr id="430" name="image286.png">
          <a:extLst>
            <a:ext uri="{FF2B5EF4-FFF2-40B4-BE49-F238E27FC236}">
              <a16:creationId xmlns:a16="http://schemas.microsoft.com/office/drawing/2014/main" id="{00000000-0008-0000-1600-0000AE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108</xdr:row>
      <xdr:rowOff>0</xdr:rowOff>
    </xdr:from>
    <xdr:ext cx="381000" cy="381000"/>
    <xdr:pic>
      <xdr:nvPicPr>
        <xdr:cNvPr id="431" name="image288.png">
          <a:extLst>
            <a:ext uri="{FF2B5EF4-FFF2-40B4-BE49-F238E27FC236}">
              <a16:creationId xmlns:a16="http://schemas.microsoft.com/office/drawing/2014/main" id="{00000000-0008-0000-1600-0000AF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108</xdr:row>
      <xdr:rowOff>0</xdr:rowOff>
    </xdr:from>
    <xdr:ext cx="381000" cy="381000"/>
    <xdr:pic>
      <xdr:nvPicPr>
        <xdr:cNvPr id="432" name="image287.png">
          <a:extLst>
            <a:ext uri="{FF2B5EF4-FFF2-40B4-BE49-F238E27FC236}">
              <a16:creationId xmlns:a16="http://schemas.microsoft.com/office/drawing/2014/main" id="{00000000-0008-0000-1600-0000B0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108</xdr:row>
      <xdr:rowOff>0</xdr:rowOff>
    </xdr:from>
    <xdr:ext cx="381000" cy="381000"/>
    <xdr:pic>
      <xdr:nvPicPr>
        <xdr:cNvPr id="433" name="image49.jpg">
          <a:extLst>
            <a:ext uri="{FF2B5EF4-FFF2-40B4-BE49-F238E27FC236}">
              <a16:creationId xmlns:a16="http://schemas.microsoft.com/office/drawing/2014/main" id="{00000000-0008-0000-1600-0000B1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109</xdr:row>
      <xdr:rowOff>0</xdr:rowOff>
    </xdr:from>
    <xdr:ext cx="762000" cy="381000"/>
    <xdr:pic>
      <xdr:nvPicPr>
        <xdr:cNvPr id="434" name="image286.png">
          <a:extLst>
            <a:ext uri="{FF2B5EF4-FFF2-40B4-BE49-F238E27FC236}">
              <a16:creationId xmlns:a16="http://schemas.microsoft.com/office/drawing/2014/main" id="{00000000-0008-0000-1600-0000B2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109</xdr:row>
      <xdr:rowOff>0</xdr:rowOff>
    </xdr:from>
    <xdr:ext cx="381000" cy="381000"/>
    <xdr:pic>
      <xdr:nvPicPr>
        <xdr:cNvPr id="435" name="image288.png">
          <a:extLst>
            <a:ext uri="{FF2B5EF4-FFF2-40B4-BE49-F238E27FC236}">
              <a16:creationId xmlns:a16="http://schemas.microsoft.com/office/drawing/2014/main" id="{00000000-0008-0000-1600-0000B3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109</xdr:row>
      <xdr:rowOff>0</xdr:rowOff>
    </xdr:from>
    <xdr:ext cx="381000" cy="381000"/>
    <xdr:pic>
      <xdr:nvPicPr>
        <xdr:cNvPr id="436" name="image287.png">
          <a:extLst>
            <a:ext uri="{FF2B5EF4-FFF2-40B4-BE49-F238E27FC236}">
              <a16:creationId xmlns:a16="http://schemas.microsoft.com/office/drawing/2014/main" id="{00000000-0008-0000-1600-0000B4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109</xdr:row>
      <xdr:rowOff>0</xdr:rowOff>
    </xdr:from>
    <xdr:ext cx="381000" cy="381000"/>
    <xdr:pic>
      <xdr:nvPicPr>
        <xdr:cNvPr id="437" name="image49.jpg">
          <a:extLst>
            <a:ext uri="{FF2B5EF4-FFF2-40B4-BE49-F238E27FC236}">
              <a16:creationId xmlns:a16="http://schemas.microsoft.com/office/drawing/2014/main" id="{00000000-0008-0000-1600-0000B5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110</xdr:row>
      <xdr:rowOff>0</xdr:rowOff>
    </xdr:from>
    <xdr:ext cx="762000" cy="381000"/>
    <xdr:pic>
      <xdr:nvPicPr>
        <xdr:cNvPr id="438" name="image286.png">
          <a:extLst>
            <a:ext uri="{FF2B5EF4-FFF2-40B4-BE49-F238E27FC236}">
              <a16:creationId xmlns:a16="http://schemas.microsoft.com/office/drawing/2014/main" id="{00000000-0008-0000-1600-0000B6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110</xdr:row>
      <xdr:rowOff>0</xdr:rowOff>
    </xdr:from>
    <xdr:ext cx="381000" cy="381000"/>
    <xdr:pic>
      <xdr:nvPicPr>
        <xdr:cNvPr id="439" name="image288.png">
          <a:extLst>
            <a:ext uri="{FF2B5EF4-FFF2-40B4-BE49-F238E27FC236}">
              <a16:creationId xmlns:a16="http://schemas.microsoft.com/office/drawing/2014/main" id="{00000000-0008-0000-1600-0000B7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110</xdr:row>
      <xdr:rowOff>0</xdr:rowOff>
    </xdr:from>
    <xdr:ext cx="381000" cy="381000"/>
    <xdr:pic>
      <xdr:nvPicPr>
        <xdr:cNvPr id="440" name="image287.png">
          <a:extLst>
            <a:ext uri="{FF2B5EF4-FFF2-40B4-BE49-F238E27FC236}">
              <a16:creationId xmlns:a16="http://schemas.microsoft.com/office/drawing/2014/main" id="{00000000-0008-0000-1600-0000B8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110</xdr:row>
      <xdr:rowOff>0</xdr:rowOff>
    </xdr:from>
    <xdr:ext cx="381000" cy="381000"/>
    <xdr:pic>
      <xdr:nvPicPr>
        <xdr:cNvPr id="441" name="image49.jpg">
          <a:extLst>
            <a:ext uri="{FF2B5EF4-FFF2-40B4-BE49-F238E27FC236}">
              <a16:creationId xmlns:a16="http://schemas.microsoft.com/office/drawing/2014/main" id="{00000000-0008-0000-1600-0000B9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111</xdr:row>
      <xdr:rowOff>0</xdr:rowOff>
    </xdr:from>
    <xdr:ext cx="762000" cy="381000"/>
    <xdr:pic>
      <xdr:nvPicPr>
        <xdr:cNvPr id="442" name="image286.png">
          <a:extLst>
            <a:ext uri="{FF2B5EF4-FFF2-40B4-BE49-F238E27FC236}">
              <a16:creationId xmlns:a16="http://schemas.microsoft.com/office/drawing/2014/main" id="{00000000-0008-0000-1600-0000BA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111</xdr:row>
      <xdr:rowOff>0</xdr:rowOff>
    </xdr:from>
    <xdr:ext cx="381000" cy="381000"/>
    <xdr:pic>
      <xdr:nvPicPr>
        <xdr:cNvPr id="443" name="image288.png">
          <a:extLst>
            <a:ext uri="{FF2B5EF4-FFF2-40B4-BE49-F238E27FC236}">
              <a16:creationId xmlns:a16="http://schemas.microsoft.com/office/drawing/2014/main" id="{00000000-0008-0000-1600-0000BB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111</xdr:row>
      <xdr:rowOff>0</xdr:rowOff>
    </xdr:from>
    <xdr:ext cx="381000" cy="381000"/>
    <xdr:pic>
      <xdr:nvPicPr>
        <xdr:cNvPr id="444" name="image287.png">
          <a:extLst>
            <a:ext uri="{FF2B5EF4-FFF2-40B4-BE49-F238E27FC236}">
              <a16:creationId xmlns:a16="http://schemas.microsoft.com/office/drawing/2014/main" id="{00000000-0008-0000-1600-0000BC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111</xdr:row>
      <xdr:rowOff>0</xdr:rowOff>
    </xdr:from>
    <xdr:ext cx="381000" cy="381000"/>
    <xdr:pic>
      <xdr:nvPicPr>
        <xdr:cNvPr id="445" name="image49.jpg">
          <a:extLst>
            <a:ext uri="{FF2B5EF4-FFF2-40B4-BE49-F238E27FC236}">
              <a16:creationId xmlns:a16="http://schemas.microsoft.com/office/drawing/2014/main" id="{00000000-0008-0000-1600-0000BD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112</xdr:row>
      <xdr:rowOff>0</xdr:rowOff>
    </xdr:from>
    <xdr:ext cx="762000" cy="381000"/>
    <xdr:pic>
      <xdr:nvPicPr>
        <xdr:cNvPr id="446" name="image286.png">
          <a:extLst>
            <a:ext uri="{FF2B5EF4-FFF2-40B4-BE49-F238E27FC236}">
              <a16:creationId xmlns:a16="http://schemas.microsoft.com/office/drawing/2014/main" id="{00000000-0008-0000-1600-0000BE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112</xdr:row>
      <xdr:rowOff>0</xdr:rowOff>
    </xdr:from>
    <xdr:ext cx="381000" cy="381000"/>
    <xdr:pic>
      <xdr:nvPicPr>
        <xdr:cNvPr id="447" name="image288.png">
          <a:extLst>
            <a:ext uri="{FF2B5EF4-FFF2-40B4-BE49-F238E27FC236}">
              <a16:creationId xmlns:a16="http://schemas.microsoft.com/office/drawing/2014/main" id="{00000000-0008-0000-1600-0000BF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112</xdr:row>
      <xdr:rowOff>0</xdr:rowOff>
    </xdr:from>
    <xdr:ext cx="381000" cy="381000"/>
    <xdr:pic>
      <xdr:nvPicPr>
        <xdr:cNvPr id="448" name="image287.png">
          <a:extLst>
            <a:ext uri="{FF2B5EF4-FFF2-40B4-BE49-F238E27FC236}">
              <a16:creationId xmlns:a16="http://schemas.microsoft.com/office/drawing/2014/main" id="{00000000-0008-0000-1600-0000C0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112</xdr:row>
      <xdr:rowOff>0</xdr:rowOff>
    </xdr:from>
    <xdr:ext cx="381000" cy="381000"/>
    <xdr:pic>
      <xdr:nvPicPr>
        <xdr:cNvPr id="449" name="image49.jpg">
          <a:extLst>
            <a:ext uri="{FF2B5EF4-FFF2-40B4-BE49-F238E27FC236}">
              <a16:creationId xmlns:a16="http://schemas.microsoft.com/office/drawing/2014/main" id="{00000000-0008-0000-1600-0000C1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113</xdr:row>
      <xdr:rowOff>0</xdr:rowOff>
    </xdr:from>
    <xdr:ext cx="762000" cy="381000"/>
    <xdr:pic>
      <xdr:nvPicPr>
        <xdr:cNvPr id="450" name="image286.png">
          <a:extLst>
            <a:ext uri="{FF2B5EF4-FFF2-40B4-BE49-F238E27FC236}">
              <a16:creationId xmlns:a16="http://schemas.microsoft.com/office/drawing/2014/main" id="{00000000-0008-0000-1600-0000C2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113</xdr:row>
      <xdr:rowOff>0</xdr:rowOff>
    </xdr:from>
    <xdr:ext cx="381000" cy="381000"/>
    <xdr:pic>
      <xdr:nvPicPr>
        <xdr:cNvPr id="451" name="image288.png">
          <a:extLst>
            <a:ext uri="{FF2B5EF4-FFF2-40B4-BE49-F238E27FC236}">
              <a16:creationId xmlns:a16="http://schemas.microsoft.com/office/drawing/2014/main" id="{00000000-0008-0000-1600-0000C3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113</xdr:row>
      <xdr:rowOff>0</xdr:rowOff>
    </xdr:from>
    <xdr:ext cx="381000" cy="381000"/>
    <xdr:pic>
      <xdr:nvPicPr>
        <xdr:cNvPr id="452" name="image287.png">
          <a:extLst>
            <a:ext uri="{FF2B5EF4-FFF2-40B4-BE49-F238E27FC236}">
              <a16:creationId xmlns:a16="http://schemas.microsoft.com/office/drawing/2014/main" id="{00000000-0008-0000-1600-0000C4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113</xdr:row>
      <xdr:rowOff>0</xdr:rowOff>
    </xdr:from>
    <xdr:ext cx="381000" cy="381000"/>
    <xdr:pic>
      <xdr:nvPicPr>
        <xdr:cNvPr id="453" name="image49.jpg">
          <a:extLst>
            <a:ext uri="{FF2B5EF4-FFF2-40B4-BE49-F238E27FC236}">
              <a16:creationId xmlns:a16="http://schemas.microsoft.com/office/drawing/2014/main" id="{00000000-0008-0000-1600-0000C5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114</xdr:row>
      <xdr:rowOff>0</xdr:rowOff>
    </xdr:from>
    <xdr:ext cx="762000" cy="381000"/>
    <xdr:pic>
      <xdr:nvPicPr>
        <xdr:cNvPr id="454" name="image286.png">
          <a:extLst>
            <a:ext uri="{FF2B5EF4-FFF2-40B4-BE49-F238E27FC236}">
              <a16:creationId xmlns:a16="http://schemas.microsoft.com/office/drawing/2014/main" id="{00000000-0008-0000-1600-0000C6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114</xdr:row>
      <xdr:rowOff>0</xdr:rowOff>
    </xdr:from>
    <xdr:ext cx="381000" cy="381000"/>
    <xdr:pic>
      <xdr:nvPicPr>
        <xdr:cNvPr id="455" name="image288.png">
          <a:extLst>
            <a:ext uri="{FF2B5EF4-FFF2-40B4-BE49-F238E27FC236}">
              <a16:creationId xmlns:a16="http://schemas.microsoft.com/office/drawing/2014/main" id="{00000000-0008-0000-1600-0000C7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114</xdr:row>
      <xdr:rowOff>0</xdr:rowOff>
    </xdr:from>
    <xdr:ext cx="381000" cy="381000"/>
    <xdr:pic>
      <xdr:nvPicPr>
        <xdr:cNvPr id="456" name="image287.png">
          <a:extLst>
            <a:ext uri="{FF2B5EF4-FFF2-40B4-BE49-F238E27FC236}">
              <a16:creationId xmlns:a16="http://schemas.microsoft.com/office/drawing/2014/main" id="{00000000-0008-0000-1600-0000C8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114</xdr:row>
      <xdr:rowOff>0</xdr:rowOff>
    </xdr:from>
    <xdr:ext cx="381000" cy="381000"/>
    <xdr:pic>
      <xdr:nvPicPr>
        <xdr:cNvPr id="457" name="image49.jpg">
          <a:extLst>
            <a:ext uri="{FF2B5EF4-FFF2-40B4-BE49-F238E27FC236}">
              <a16:creationId xmlns:a16="http://schemas.microsoft.com/office/drawing/2014/main" id="{00000000-0008-0000-1600-0000C9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115</xdr:row>
      <xdr:rowOff>0</xdr:rowOff>
    </xdr:from>
    <xdr:ext cx="762000" cy="381000"/>
    <xdr:pic>
      <xdr:nvPicPr>
        <xdr:cNvPr id="458" name="image286.png">
          <a:extLst>
            <a:ext uri="{FF2B5EF4-FFF2-40B4-BE49-F238E27FC236}">
              <a16:creationId xmlns:a16="http://schemas.microsoft.com/office/drawing/2014/main" id="{00000000-0008-0000-1600-0000CA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115</xdr:row>
      <xdr:rowOff>0</xdr:rowOff>
    </xdr:from>
    <xdr:ext cx="381000" cy="381000"/>
    <xdr:pic>
      <xdr:nvPicPr>
        <xdr:cNvPr id="459" name="image288.png">
          <a:extLst>
            <a:ext uri="{FF2B5EF4-FFF2-40B4-BE49-F238E27FC236}">
              <a16:creationId xmlns:a16="http://schemas.microsoft.com/office/drawing/2014/main" id="{00000000-0008-0000-1600-0000CB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115</xdr:row>
      <xdr:rowOff>0</xdr:rowOff>
    </xdr:from>
    <xdr:ext cx="381000" cy="381000"/>
    <xdr:pic>
      <xdr:nvPicPr>
        <xdr:cNvPr id="460" name="image287.png">
          <a:extLst>
            <a:ext uri="{FF2B5EF4-FFF2-40B4-BE49-F238E27FC236}">
              <a16:creationId xmlns:a16="http://schemas.microsoft.com/office/drawing/2014/main" id="{00000000-0008-0000-1600-0000CC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115</xdr:row>
      <xdr:rowOff>0</xdr:rowOff>
    </xdr:from>
    <xdr:ext cx="381000" cy="381000"/>
    <xdr:pic>
      <xdr:nvPicPr>
        <xdr:cNvPr id="461" name="image49.jpg">
          <a:extLst>
            <a:ext uri="{FF2B5EF4-FFF2-40B4-BE49-F238E27FC236}">
              <a16:creationId xmlns:a16="http://schemas.microsoft.com/office/drawing/2014/main" id="{00000000-0008-0000-1600-0000CD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116</xdr:row>
      <xdr:rowOff>0</xdr:rowOff>
    </xdr:from>
    <xdr:ext cx="762000" cy="381000"/>
    <xdr:pic>
      <xdr:nvPicPr>
        <xdr:cNvPr id="462" name="image286.png">
          <a:extLst>
            <a:ext uri="{FF2B5EF4-FFF2-40B4-BE49-F238E27FC236}">
              <a16:creationId xmlns:a16="http://schemas.microsoft.com/office/drawing/2014/main" id="{00000000-0008-0000-1600-0000CE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116</xdr:row>
      <xdr:rowOff>0</xdr:rowOff>
    </xdr:from>
    <xdr:ext cx="381000" cy="381000"/>
    <xdr:pic>
      <xdr:nvPicPr>
        <xdr:cNvPr id="463" name="image288.png">
          <a:extLst>
            <a:ext uri="{FF2B5EF4-FFF2-40B4-BE49-F238E27FC236}">
              <a16:creationId xmlns:a16="http://schemas.microsoft.com/office/drawing/2014/main" id="{00000000-0008-0000-1600-0000CF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116</xdr:row>
      <xdr:rowOff>0</xdr:rowOff>
    </xdr:from>
    <xdr:ext cx="381000" cy="381000"/>
    <xdr:pic>
      <xdr:nvPicPr>
        <xdr:cNvPr id="464" name="image287.png">
          <a:extLst>
            <a:ext uri="{FF2B5EF4-FFF2-40B4-BE49-F238E27FC236}">
              <a16:creationId xmlns:a16="http://schemas.microsoft.com/office/drawing/2014/main" id="{00000000-0008-0000-1600-0000D0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116</xdr:row>
      <xdr:rowOff>0</xdr:rowOff>
    </xdr:from>
    <xdr:ext cx="381000" cy="381000"/>
    <xdr:pic>
      <xdr:nvPicPr>
        <xdr:cNvPr id="465" name="image49.jpg">
          <a:extLst>
            <a:ext uri="{FF2B5EF4-FFF2-40B4-BE49-F238E27FC236}">
              <a16:creationId xmlns:a16="http://schemas.microsoft.com/office/drawing/2014/main" id="{00000000-0008-0000-1600-0000D1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117</xdr:row>
      <xdr:rowOff>0</xdr:rowOff>
    </xdr:from>
    <xdr:ext cx="762000" cy="381000"/>
    <xdr:pic>
      <xdr:nvPicPr>
        <xdr:cNvPr id="466" name="image286.png">
          <a:extLst>
            <a:ext uri="{FF2B5EF4-FFF2-40B4-BE49-F238E27FC236}">
              <a16:creationId xmlns:a16="http://schemas.microsoft.com/office/drawing/2014/main" id="{00000000-0008-0000-1600-0000D2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117</xdr:row>
      <xdr:rowOff>0</xdr:rowOff>
    </xdr:from>
    <xdr:ext cx="381000" cy="381000"/>
    <xdr:pic>
      <xdr:nvPicPr>
        <xdr:cNvPr id="467" name="image288.png">
          <a:extLst>
            <a:ext uri="{FF2B5EF4-FFF2-40B4-BE49-F238E27FC236}">
              <a16:creationId xmlns:a16="http://schemas.microsoft.com/office/drawing/2014/main" id="{00000000-0008-0000-1600-0000D3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117</xdr:row>
      <xdr:rowOff>0</xdr:rowOff>
    </xdr:from>
    <xdr:ext cx="381000" cy="381000"/>
    <xdr:pic>
      <xdr:nvPicPr>
        <xdr:cNvPr id="468" name="image287.png">
          <a:extLst>
            <a:ext uri="{FF2B5EF4-FFF2-40B4-BE49-F238E27FC236}">
              <a16:creationId xmlns:a16="http://schemas.microsoft.com/office/drawing/2014/main" id="{00000000-0008-0000-1600-0000D4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117</xdr:row>
      <xdr:rowOff>0</xdr:rowOff>
    </xdr:from>
    <xdr:ext cx="381000" cy="381000"/>
    <xdr:pic>
      <xdr:nvPicPr>
        <xdr:cNvPr id="469" name="image49.jpg">
          <a:extLst>
            <a:ext uri="{FF2B5EF4-FFF2-40B4-BE49-F238E27FC236}">
              <a16:creationId xmlns:a16="http://schemas.microsoft.com/office/drawing/2014/main" id="{00000000-0008-0000-1600-0000D5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118</xdr:row>
      <xdr:rowOff>0</xdr:rowOff>
    </xdr:from>
    <xdr:ext cx="762000" cy="381000"/>
    <xdr:pic>
      <xdr:nvPicPr>
        <xdr:cNvPr id="470" name="image286.png">
          <a:extLst>
            <a:ext uri="{FF2B5EF4-FFF2-40B4-BE49-F238E27FC236}">
              <a16:creationId xmlns:a16="http://schemas.microsoft.com/office/drawing/2014/main" id="{00000000-0008-0000-1600-0000D6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118</xdr:row>
      <xdr:rowOff>0</xdr:rowOff>
    </xdr:from>
    <xdr:ext cx="381000" cy="381000"/>
    <xdr:pic>
      <xdr:nvPicPr>
        <xdr:cNvPr id="471" name="image288.png">
          <a:extLst>
            <a:ext uri="{FF2B5EF4-FFF2-40B4-BE49-F238E27FC236}">
              <a16:creationId xmlns:a16="http://schemas.microsoft.com/office/drawing/2014/main" id="{00000000-0008-0000-1600-0000D7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118</xdr:row>
      <xdr:rowOff>0</xdr:rowOff>
    </xdr:from>
    <xdr:ext cx="381000" cy="381000"/>
    <xdr:pic>
      <xdr:nvPicPr>
        <xdr:cNvPr id="472" name="image287.png">
          <a:extLst>
            <a:ext uri="{FF2B5EF4-FFF2-40B4-BE49-F238E27FC236}">
              <a16:creationId xmlns:a16="http://schemas.microsoft.com/office/drawing/2014/main" id="{00000000-0008-0000-1600-0000D8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118</xdr:row>
      <xdr:rowOff>0</xdr:rowOff>
    </xdr:from>
    <xdr:ext cx="381000" cy="381000"/>
    <xdr:pic>
      <xdr:nvPicPr>
        <xdr:cNvPr id="473" name="image49.jpg">
          <a:extLst>
            <a:ext uri="{FF2B5EF4-FFF2-40B4-BE49-F238E27FC236}">
              <a16:creationId xmlns:a16="http://schemas.microsoft.com/office/drawing/2014/main" id="{00000000-0008-0000-1600-0000D9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119</xdr:row>
      <xdr:rowOff>0</xdr:rowOff>
    </xdr:from>
    <xdr:ext cx="762000" cy="381000"/>
    <xdr:pic>
      <xdr:nvPicPr>
        <xdr:cNvPr id="474" name="image286.png">
          <a:extLst>
            <a:ext uri="{FF2B5EF4-FFF2-40B4-BE49-F238E27FC236}">
              <a16:creationId xmlns:a16="http://schemas.microsoft.com/office/drawing/2014/main" id="{00000000-0008-0000-1600-0000DA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119</xdr:row>
      <xdr:rowOff>0</xdr:rowOff>
    </xdr:from>
    <xdr:ext cx="381000" cy="381000"/>
    <xdr:pic>
      <xdr:nvPicPr>
        <xdr:cNvPr id="475" name="image288.png">
          <a:extLst>
            <a:ext uri="{FF2B5EF4-FFF2-40B4-BE49-F238E27FC236}">
              <a16:creationId xmlns:a16="http://schemas.microsoft.com/office/drawing/2014/main" id="{00000000-0008-0000-1600-0000DB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119</xdr:row>
      <xdr:rowOff>0</xdr:rowOff>
    </xdr:from>
    <xdr:ext cx="381000" cy="381000"/>
    <xdr:pic>
      <xdr:nvPicPr>
        <xdr:cNvPr id="476" name="image287.png">
          <a:extLst>
            <a:ext uri="{FF2B5EF4-FFF2-40B4-BE49-F238E27FC236}">
              <a16:creationId xmlns:a16="http://schemas.microsoft.com/office/drawing/2014/main" id="{00000000-0008-0000-1600-0000DC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119</xdr:row>
      <xdr:rowOff>0</xdr:rowOff>
    </xdr:from>
    <xdr:ext cx="381000" cy="381000"/>
    <xdr:pic>
      <xdr:nvPicPr>
        <xdr:cNvPr id="477" name="image49.jpg">
          <a:extLst>
            <a:ext uri="{FF2B5EF4-FFF2-40B4-BE49-F238E27FC236}">
              <a16:creationId xmlns:a16="http://schemas.microsoft.com/office/drawing/2014/main" id="{00000000-0008-0000-1600-0000DD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120</xdr:row>
      <xdr:rowOff>0</xdr:rowOff>
    </xdr:from>
    <xdr:ext cx="762000" cy="381000"/>
    <xdr:pic>
      <xdr:nvPicPr>
        <xdr:cNvPr id="478" name="image286.png">
          <a:extLst>
            <a:ext uri="{FF2B5EF4-FFF2-40B4-BE49-F238E27FC236}">
              <a16:creationId xmlns:a16="http://schemas.microsoft.com/office/drawing/2014/main" id="{00000000-0008-0000-1600-0000DE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120</xdr:row>
      <xdr:rowOff>0</xdr:rowOff>
    </xdr:from>
    <xdr:ext cx="381000" cy="381000"/>
    <xdr:pic>
      <xdr:nvPicPr>
        <xdr:cNvPr id="479" name="image288.png">
          <a:extLst>
            <a:ext uri="{FF2B5EF4-FFF2-40B4-BE49-F238E27FC236}">
              <a16:creationId xmlns:a16="http://schemas.microsoft.com/office/drawing/2014/main" id="{00000000-0008-0000-1600-0000DF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120</xdr:row>
      <xdr:rowOff>0</xdr:rowOff>
    </xdr:from>
    <xdr:ext cx="381000" cy="381000"/>
    <xdr:pic>
      <xdr:nvPicPr>
        <xdr:cNvPr id="480" name="image287.png">
          <a:extLst>
            <a:ext uri="{FF2B5EF4-FFF2-40B4-BE49-F238E27FC236}">
              <a16:creationId xmlns:a16="http://schemas.microsoft.com/office/drawing/2014/main" id="{00000000-0008-0000-1600-0000E0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120</xdr:row>
      <xdr:rowOff>0</xdr:rowOff>
    </xdr:from>
    <xdr:ext cx="381000" cy="381000"/>
    <xdr:pic>
      <xdr:nvPicPr>
        <xdr:cNvPr id="481" name="image49.jpg">
          <a:extLst>
            <a:ext uri="{FF2B5EF4-FFF2-40B4-BE49-F238E27FC236}">
              <a16:creationId xmlns:a16="http://schemas.microsoft.com/office/drawing/2014/main" id="{00000000-0008-0000-1600-0000E1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121</xdr:row>
      <xdr:rowOff>0</xdr:rowOff>
    </xdr:from>
    <xdr:ext cx="762000" cy="381000"/>
    <xdr:pic>
      <xdr:nvPicPr>
        <xdr:cNvPr id="482" name="image286.png">
          <a:extLst>
            <a:ext uri="{FF2B5EF4-FFF2-40B4-BE49-F238E27FC236}">
              <a16:creationId xmlns:a16="http://schemas.microsoft.com/office/drawing/2014/main" id="{00000000-0008-0000-1600-0000E2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121</xdr:row>
      <xdr:rowOff>0</xdr:rowOff>
    </xdr:from>
    <xdr:ext cx="381000" cy="381000"/>
    <xdr:pic>
      <xdr:nvPicPr>
        <xdr:cNvPr id="483" name="image288.png">
          <a:extLst>
            <a:ext uri="{FF2B5EF4-FFF2-40B4-BE49-F238E27FC236}">
              <a16:creationId xmlns:a16="http://schemas.microsoft.com/office/drawing/2014/main" id="{00000000-0008-0000-1600-0000E3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121</xdr:row>
      <xdr:rowOff>0</xdr:rowOff>
    </xdr:from>
    <xdr:ext cx="381000" cy="381000"/>
    <xdr:pic>
      <xdr:nvPicPr>
        <xdr:cNvPr id="484" name="image287.png">
          <a:extLst>
            <a:ext uri="{FF2B5EF4-FFF2-40B4-BE49-F238E27FC236}">
              <a16:creationId xmlns:a16="http://schemas.microsoft.com/office/drawing/2014/main" id="{00000000-0008-0000-1600-0000E4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121</xdr:row>
      <xdr:rowOff>0</xdr:rowOff>
    </xdr:from>
    <xdr:ext cx="381000" cy="381000"/>
    <xdr:pic>
      <xdr:nvPicPr>
        <xdr:cNvPr id="485" name="image49.jpg">
          <a:extLst>
            <a:ext uri="{FF2B5EF4-FFF2-40B4-BE49-F238E27FC236}">
              <a16:creationId xmlns:a16="http://schemas.microsoft.com/office/drawing/2014/main" id="{00000000-0008-0000-1600-0000E5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122</xdr:row>
      <xdr:rowOff>0</xdr:rowOff>
    </xdr:from>
    <xdr:ext cx="762000" cy="381000"/>
    <xdr:pic>
      <xdr:nvPicPr>
        <xdr:cNvPr id="486" name="image286.png">
          <a:extLst>
            <a:ext uri="{FF2B5EF4-FFF2-40B4-BE49-F238E27FC236}">
              <a16:creationId xmlns:a16="http://schemas.microsoft.com/office/drawing/2014/main" id="{00000000-0008-0000-1600-0000E6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122</xdr:row>
      <xdr:rowOff>0</xdr:rowOff>
    </xdr:from>
    <xdr:ext cx="381000" cy="381000"/>
    <xdr:pic>
      <xdr:nvPicPr>
        <xdr:cNvPr id="487" name="image288.png">
          <a:extLst>
            <a:ext uri="{FF2B5EF4-FFF2-40B4-BE49-F238E27FC236}">
              <a16:creationId xmlns:a16="http://schemas.microsoft.com/office/drawing/2014/main" id="{00000000-0008-0000-1600-0000E7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122</xdr:row>
      <xdr:rowOff>0</xdr:rowOff>
    </xdr:from>
    <xdr:ext cx="381000" cy="381000"/>
    <xdr:pic>
      <xdr:nvPicPr>
        <xdr:cNvPr id="488" name="image287.png">
          <a:extLst>
            <a:ext uri="{FF2B5EF4-FFF2-40B4-BE49-F238E27FC236}">
              <a16:creationId xmlns:a16="http://schemas.microsoft.com/office/drawing/2014/main" id="{00000000-0008-0000-1600-0000E8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122</xdr:row>
      <xdr:rowOff>0</xdr:rowOff>
    </xdr:from>
    <xdr:ext cx="381000" cy="381000"/>
    <xdr:pic>
      <xdr:nvPicPr>
        <xdr:cNvPr id="489" name="image49.jpg">
          <a:extLst>
            <a:ext uri="{FF2B5EF4-FFF2-40B4-BE49-F238E27FC236}">
              <a16:creationId xmlns:a16="http://schemas.microsoft.com/office/drawing/2014/main" id="{00000000-0008-0000-1600-0000E9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123</xdr:row>
      <xdr:rowOff>0</xdr:rowOff>
    </xdr:from>
    <xdr:ext cx="762000" cy="381000"/>
    <xdr:pic>
      <xdr:nvPicPr>
        <xdr:cNvPr id="490" name="image286.png">
          <a:extLst>
            <a:ext uri="{FF2B5EF4-FFF2-40B4-BE49-F238E27FC236}">
              <a16:creationId xmlns:a16="http://schemas.microsoft.com/office/drawing/2014/main" id="{00000000-0008-0000-1600-0000EA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123</xdr:row>
      <xdr:rowOff>0</xdr:rowOff>
    </xdr:from>
    <xdr:ext cx="381000" cy="381000"/>
    <xdr:pic>
      <xdr:nvPicPr>
        <xdr:cNvPr id="491" name="image288.png">
          <a:extLst>
            <a:ext uri="{FF2B5EF4-FFF2-40B4-BE49-F238E27FC236}">
              <a16:creationId xmlns:a16="http://schemas.microsoft.com/office/drawing/2014/main" id="{00000000-0008-0000-1600-0000EB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123</xdr:row>
      <xdr:rowOff>0</xdr:rowOff>
    </xdr:from>
    <xdr:ext cx="381000" cy="381000"/>
    <xdr:pic>
      <xdr:nvPicPr>
        <xdr:cNvPr id="492" name="image287.png">
          <a:extLst>
            <a:ext uri="{FF2B5EF4-FFF2-40B4-BE49-F238E27FC236}">
              <a16:creationId xmlns:a16="http://schemas.microsoft.com/office/drawing/2014/main" id="{00000000-0008-0000-1600-0000EC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123</xdr:row>
      <xdr:rowOff>0</xdr:rowOff>
    </xdr:from>
    <xdr:ext cx="381000" cy="381000"/>
    <xdr:pic>
      <xdr:nvPicPr>
        <xdr:cNvPr id="493" name="image49.jpg">
          <a:extLst>
            <a:ext uri="{FF2B5EF4-FFF2-40B4-BE49-F238E27FC236}">
              <a16:creationId xmlns:a16="http://schemas.microsoft.com/office/drawing/2014/main" id="{00000000-0008-0000-1600-0000ED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124</xdr:row>
      <xdr:rowOff>0</xdr:rowOff>
    </xdr:from>
    <xdr:ext cx="762000" cy="381000"/>
    <xdr:pic>
      <xdr:nvPicPr>
        <xdr:cNvPr id="494" name="image286.png">
          <a:extLst>
            <a:ext uri="{FF2B5EF4-FFF2-40B4-BE49-F238E27FC236}">
              <a16:creationId xmlns:a16="http://schemas.microsoft.com/office/drawing/2014/main" id="{00000000-0008-0000-1600-0000EE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124</xdr:row>
      <xdr:rowOff>0</xdr:rowOff>
    </xdr:from>
    <xdr:ext cx="381000" cy="381000"/>
    <xdr:pic>
      <xdr:nvPicPr>
        <xdr:cNvPr id="495" name="image288.png">
          <a:extLst>
            <a:ext uri="{FF2B5EF4-FFF2-40B4-BE49-F238E27FC236}">
              <a16:creationId xmlns:a16="http://schemas.microsoft.com/office/drawing/2014/main" id="{00000000-0008-0000-1600-0000EF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124</xdr:row>
      <xdr:rowOff>0</xdr:rowOff>
    </xdr:from>
    <xdr:ext cx="381000" cy="381000"/>
    <xdr:pic>
      <xdr:nvPicPr>
        <xdr:cNvPr id="496" name="image287.png">
          <a:extLst>
            <a:ext uri="{FF2B5EF4-FFF2-40B4-BE49-F238E27FC236}">
              <a16:creationId xmlns:a16="http://schemas.microsoft.com/office/drawing/2014/main" id="{00000000-0008-0000-1600-0000F0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124</xdr:row>
      <xdr:rowOff>0</xdr:rowOff>
    </xdr:from>
    <xdr:ext cx="381000" cy="381000"/>
    <xdr:pic>
      <xdr:nvPicPr>
        <xdr:cNvPr id="497" name="image49.jpg">
          <a:extLst>
            <a:ext uri="{FF2B5EF4-FFF2-40B4-BE49-F238E27FC236}">
              <a16:creationId xmlns:a16="http://schemas.microsoft.com/office/drawing/2014/main" id="{00000000-0008-0000-1600-0000F1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125</xdr:row>
      <xdr:rowOff>0</xdr:rowOff>
    </xdr:from>
    <xdr:ext cx="762000" cy="381000"/>
    <xdr:pic>
      <xdr:nvPicPr>
        <xdr:cNvPr id="498" name="image286.png">
          <a:extLst>
            <a:ext uri="{FF2B5EF4-FFF2-40B4-BE49-F238E27FC236}">
              <a16:creationId xmlns:a16="http://schemas.microsoft.com/office/drawing/2014/main" id="{00000000-0008-0000-1600-0000F2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125</xdr:row>
      <xdr:rowOff>0</xdr:rowOff>
    </xdr:from>
    <xdr:ext cx="381000" cy="381000"/>
    <xdr:pic>
      <xdr:nvPicPr>
        <xdr:cNvPr id="499" name="image288.png">
          <a:extLst>
            <a:ext uri="{FF2B5EF4-FFF2-40B4-BE49-F238E27FC236}">
              <a16:creationId xmlns:a16="http://schemas.microsoft.com/office/drawing/2014/main" id="{00000000-0008-0000-1600-0000F3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125</xdr:row>
      <xdr:rowOff>0</xdr:rowOff>
    </xdr:from>
    <xdr:ext cx="381000" cy="381000"/>
    <xdr:pic>
      <xdr:nvPicPr>
        <xdr:cNvPr id="500" name="image287.png">
          <a:extLst>
            <a:ext uri="{FF2B5EF4-FFF2-40B4-BE49-F238E27FC236}">
              <a16:creationId xmlns:a16="http://schemas.microsoft.com/office/drawing/2014/main" id="{00000000-0008-0000-1600-0000F4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125</xdr:row>
      <xdr:rowOff>0</xdr:rowOff>
    </xdr:from>
    <xdr:ext cx="381000" cy="381000"/>
    <xdr:pic>
      <xdr:nvPicPr>
        <xdr:cNvPr id="501" name="image49.jpg">
          <a:extLst>
            <a:ext uri="{FF2B5EF4-FFF2-40B4-BE49-F238E27FC236}">
              <a16:creationId xmlns:a16="http://schemas.microsoft.com/office/drawing/2014/main" id="{00000000-0008-0000-1600-0000F5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126</xdr:row>
      <xdr:rowOff>0</xdr:rowOff>
    </xdr:from>
    <xdr:ext cx="762000" cy="381000"/>
    <xdr:pic>
      <xdr:nvPicPr>
        <xdr:cNvPr id="502" name="image286.png">
          <a:extLst>
            <a:ext uri="{FF2B5EF4-FFF2-40B4-BE49-F238E27FC236}">
              <a16:creationId xmlns:a16="http://schemas.microsoft.com/office/drawing/2014/main" id="{00000000-0008-0000-1600-0000F6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126</xdr:row>
      <xdr:rowOff>0</xdr:rowOff>
    </xdr:from>
    <xdr:ext cx="381000" cy="381000"/>
    <xdr:pic>
      <xdr:nvPicPr>
        <xdr:cNvPr id="503" name="image288.png">
          <a:extLst>
            <a:ext uri="{FF2B5EF4-FFF2-40B4-BE49-F238E27FC236}">
              <a16:creationId xmlns:a16="http://schemas.microsoft.com/office/drawing/2014/main" id="{00000000-0008-0000-1600-0000F7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126</xdr:row>
      <xdr:rowOff>0</xdr:rowOff>
    </xdr:from>
    <xdr:ext cx="381000" cy="381000"/>
    <xdr:pic>
      <xdr:nvPicPr>
        <xdr:cNvPr id="504" name="image287.png">
          <a:extLst>
            <a:ext uri="{FF2B5EF4-FFF2-40B4-BE49-F238E27FC236}">
              <a16:creationId xmlns:a16="http://schemas.microsoft.com/office/drawing/2014/main" id="{00000000-0008-0000-1600-0000F8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126</xdr:row>
      <xdr:rowOff>0</xdr:rowOff>
    </xdr:from>
    <xdr:ext cx="381000" cy="381000"/>
    <xdr:pic>
      <xdr:nvPicPr>
        <xdr:cNvPr id="505" name="image49.jpg">
          <a:extLst>
            <a:ext uri="{FF2B5EF4-FFF2-40B4-BE49-F238E27FC236}">
              <a16:creationId xmlns:a16="http://schemas.microsoft.com/office/drawing/2014/main" id="{00000000-0008-0000-1600-0000F9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127</xdr:row>
      <xdr:rowOff>0</xdr:rowOff>
    </xdr:from>
    <xdr:ext cx="762000" cy="381000"/>
    <xdr:pic>
      <xdr:nvPicPr>
        <xdr:cNvPr id="506" name="image286.png">
          <a:extLst>
            <a:ext uri="{FF2B5EF4-FFF2-40B4-BE49-F238E27FC236}">
              <a16:creationId xmlns:a16="http://schemas.microsoft.com/office/drawing/2014/main" id="{00000000-0008-0000-1600-0000FA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127</xdr:row>
      <xdr:rowOff>0</xdr:rowOff>
    </xdr:from>
    <xdr:ext cx="381000" cy="381000"/>
    <xdr:pic>
      <xdr:nvPicPr>
        <xdr:cNvPr id="507" name="image288.png">
          <a:extLst>
            <a:ext uri="{FF2B5EF4-FFF2-40B4-BE49-F238E27FC236}">
              <a16:creationId xmlns:a16="http://schemas.microsoft.com/office/drawing/2014/main" id="{00000000-0008-0000-1600-0000FB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127</xdr:row>
      <xdr:rowOff>0</xdr:rowOff>
    </xdr:from>
    <xdr:ext cx="381000" cy="381000"/>
    <xdr:pic>
      <xdr:nvPicPr>
        <xdr:cNvPr id="508" name="image287.png">
          <a:extLst>
            <a:ext uri="{FF2B5EF4-FFF2-40B4-BE49-F238E27FC236}">
              <a16:creationId xmlns:a16="http://schemas.microsoft.com/office/drawing/2014/main" id="{00000000-0008-0000-1600-0000FC01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127</xdr:row>
      <xdr:rowOff>0</xdr:rowOff>
    </xdr:from>
    <xdr:ext cx="381000" cy="381000"/>
    <xdr:pic>
      <xdr:nvPicPr>
        <xdr:cNvPr id="509" name="image49.jpg">
          <a:extLst>
            <a:ext uri="{FF2B5EF4-FFF2-40B4-BE49-F238E27FC236}">
              <a16:creationId xmlns:a16="http://schemas.microsoft.com/office/drawing/2014/main" id="{00000000-0008-0000-1600-0000FD01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128</xdr:row>
      <xdr:rowOff>0</xdr:rowOff>
    </xdr:from>
    <xdr:ext cx="762000" cy="381000"/>
    <xdr:pic>
      <xdr:nvPicPr>
        <xdr:cNvPr id="510" name="image286.png">
          <a:extLst>
            <a:ext uri="{FF2B5EF4-FFF2-40B4-BE49-F238E27FC236}">
              <a16:creationId xmlns:a16="http://schemas.microsoft.com/office/drawing/2014/main" id="{00000000-0008-0000-1600-0000FE01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128</xdr:row>
      <xdr:rowOff>0</xdr:rowOff>
    </xdr:from>
    <xdr:ext cx="381000" cy="381000"/>
    <xdr:pic>
      <xdr:nvPicPr>
        <xdr:cNvPr id="511" name="image288.png">
          <a:extLst>
            <a:ext uri="{FF2B5EF4-FFF2-40B4-BE49-F238E27FC236}">
              <a16:creationId xmlns:a16="http://schemas.microsoft.com/office/drawing/2014/main" id="{00000000-0008-0000-1600-0000FF01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128</xdr:row>
      <xdr:rowOff>0</xdr:rowOff>
    </xdr:from>
    <xdr:ext cx="381000" cy="381000"/>
    <xdr:pic>
      <xdr:nvPicPr>
        <xdr:cNvPr id="512" name="image287.png">
          <a:extLst>
            <a:ext uri="{FF2B5EF4-FFF2-40B4-BE49-F238E27FC236}">
              <a16:creationId xmlns:a16="http://schemas.microsoft.com/office/drawing/2014/main" id="{00000000-0008-0000-1600-000000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128</xdr:row>
      <xdr:rowOff>0</xdr:rowOff>
    </xdr:from>
    <xdr:ext cx="381000" cy="381000"/>
    <xdr:pic>
      <xdr:nvPicPr>
        <xdr:cNvPr id="513" name="image49.jpg">
          <a:extLst>
            <a:ext uri="{FF2B5EF4-FFF2-40B4-BE49-F238E27FC236}">
              <a16:creationId xmlns:a16="http://schemas.microsoft.com/office/drawing/2014/main" id="{00000000-0008-0000-1600-000001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129</xdr:row>
      <xdr:rowOff>0</xdr:rowOff>
    </xdr:from>
    <xdr:ext cx="762000" cy="381000"/>
    <xdr:pic>
      <xdr:nvPicPr>
        <xdr:cNvPr id="514" name="image286.png">
          <a:extLst>
            <a:ext uri="{FF2B5EF4-FFF2-40B4-BE49-F238E27FC236}">
              <a16:creationId xmlns:a16="http://schemas.microsoft.com/office/drawing/2014/main" id="{00000000-0008-0000-1600-000002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129</xdr:row>
      <xdr:rowOff>0</xdr:rowOff>
    </xdr:from>
    <xdr:ext cx="381000" cy="381000"/>
    <xdr:pic>
      <xdr:nvPicPr>
        <xdr:cNvPr id="515" name="image288.png">
          <a:extLst>
            <a:ext uri="{FF2B5EF4-FFF2-40B4-BE49-F238E27FC236}">
              <a16:creationId xmlns:a16="http://schemas.microsoft.com/office/drawing/2014/main" id="{00000000-0008-0000-1600-000003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129</xdr:row>
      <xdr:rowOff>0</xdr:rowOff>
    </xdr:from>
    <xdr:ext cx="381000" cy="381000"/>
    <xdr:pic>
      <xdr:nvPicPr>
        <xdr:cNvPr id="516" name="image287.png">
          <a:extLst>
            <a:ext uri="{FF2B5EF4-FFF2-40B4-BE49-F238E27FC236}">
              <a16:creationId xmlns:a16="http://schemas.microsoft.com/office/drawing/2014/main" id="{00000000-0008-0000-1600-000004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129</xdr:row>
      <xdr:rowOff>0</xdr:rowOff>
    </xdr:from>
    <xdr:ext cx="381000" cy="381000"/>
    <xdr:pic>
      <xdr:nvPicPr>
        <xdr:cNvPr id="517" name="image49.jpg">
          <a:extLst>
            <a:ext uri="{FF2B5EF4-FFF2-40B4-BE49-F238E27FC236}">
              <a16:creationId xmlns:a16="http://schemas.microsoft.com/office/drawing/2014/main" id="{00000000-0008-0000-1600-000005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130</xdr:row>
      <xdr:rowOff>0</xdr:rowOff>
    </xdr:from>
    <xdr:ext cx="762000" cy="381000"/>
    <xdr:pic>
      <xdr:nvPicPr>
        <xdr:cNvPr id="518" name="image286.png">
          <a:extLst>
            <a:ext uri="{FF2B5EF4-FFF2-40B4-BE49-F238E27FC236}">
              <a16:creationId xmlns:a16="http://schemas.microsoft.com/office/drawing/2014/main" id="{00000000-0008-0000-1600-000006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130</xdr:row>
      <xdr:rowOff>0</xdr:rowOff>
    </xdr:from>
    <xdr:ext cx="381000" cy="381000"/>
    <xdr:pic>
      <xdr:nvPicPr>
        <xdr:cNvPr id="519" name="image288.png">
          <a:extLst>
            <a:ext uri="{FF2B5EF4-FFF2-40B4-BE49-F238E27FC236}">
              <a16:creationId xmlns:a16="http://schemas.microsoft.com/office/drawing/2014/main" id="{00000000-0008-0000-1600-000007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130</xdr:row>
      <xdr:rowOff>0</xdr:rowOff>
    </xdr:from>
    <xdr:ext cx="381000" cy="381000"/>
    <xdr:pic>
      <xdr:nvPicPr>
        <xdr:cNvPr id="520" name="image287.png">
          <a:extLst>
            <a:ext uri="{FF2B5EF4-FFF2-40B4-BE49-F238E27FC236}">
              <a16:creationId xmlns:a16="http://schemas.microsoft.com/office/drawing/2014/main" id="{00000000-0008-0000-1600-000008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130</xdr:row>
      <xdr:rowOff>0</xdr:rowOff>
    </xdr:from>
    <xdr:ext cx="381000" cy="381000"/>
    <xdr:pic>
      <xdr:nvPicPr>
        <xdr:cNvPr id="521" name="image49.jpg">
          <a:extLst>
            <a:ext uri="{FF2B5EF4-FFF2-40B4-BE49-F238E27FC236}">
              <a16:creationId xmlns:a16="http://schemas.microsoft.com/office/drawing/2014/main" id="{00000000-0008-0000-1600-000009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131</xdr:row>
      <xdr:rowOff>0</xdr:rowOff>
    </xdr:from>
    <xdr:ext cx="762000" cy="381000"/>
    <xdr:pic>
      <xdr:nvPicPr>
        <xdr:cNvPr id="522" name="image286.png">
          <a:extLst>
            <a:ext uri="{FF2B5EF4-FFF2-40B4-BE49-F238E27FC236}">
              <a16:creationId xmlns:a16="http://schemas.microsoft.com/office/drawing/2014/main" id="{00000000-0008-0000-1600-00000A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131</xdr:row>
      <xdr:rowOff>0</xdr:rowOff>
    </xdr:from>
    <xdr:ext cx="381000" cy="381000"/>
    <xdr:pic>
      <xdr:nvPicPr>
        <xdr:cNvPr id="523" name="image288.png">
          <a:extLst>
            <a:ext uri="{FF2B5EF4-FFF2-40B4-BE49-F238E27FC236}">
              <a16:creationId xmlns:a16="http://schemas.microsoft.com/office/drawing/2014/main" id="{00000000-0008-0000-1600-00000B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131</xdr:row>
      <xdr:rowOff>0</xdr:rowOff>
    </xdr:from>
    <xdr:ext cx="381000" cy="381000"/>
    <xdr:pic>
      <xdr:nvPicPr>
        <xdr:cNvPr id="524" name="image287.png">
          <a:extLst>
            <a:ext uri="{FF2B5EF4-FFF2-40B4-BE49-F238E27FC236}">
              <a16:creationId xmlns:a16="http://schemas.microsoft.com/office/drawing/2014/main" id="{00000000-0008-0000-1600-00000C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131</xdr:row>
      <xdr:rowOff>0</xdr:rowOff>
    </xdr:from>
    <xdr:ext cx="381000" cy="381000"/>
    <xdr:pic>
      <xdr:nvPicPr>
        <xdr:cNvPr id="525" name="image49.jpg">
          <a:extLst>
            <a:ext uri="{FF2B5EF4-FFF2-40B4-BE49-F238E27FC236}">
              <a16:creationId xmlns:a16="http://schemas.microsoft.com/office/drawing/2014/main" id="{00000000-0008-0000-1600-00000D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132</xdr:row>
      <xdr:rowOff>0</xdr:rowOff>
    </xdr:from>
    <xdr:ext cx="762000" cy="381000"/>
    <xdr:pic>
      <xdr:nvPicPr>
        <xdr:cNvPr id="526" name="image286.png">
          <a:extLst>
            <a:ext uri="{FF2B5EF4-FFF2-40B4-BE49-F238E27FC236}">
              <a16:creationId xmlns:a16="http://schemas.microsoft.com/office/drawing/2014/main" id="{00000000-0008-0000-1600-00000E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132</xdr:row>
      <xdr:rowOff>0</xdr:rowOff>
    </xdr:from>
    <xdr:ext cx="381000" cy="381000"/>
    <xdr:pic>
      <xdr:nvPicPr>
        <xdr:cNvPr id="527" name="image288.png">
          <a:extLst>
            <a:ext uri="{FF2B5EF4-FFF2-40B4-BE49-F238E27FC236}">
              <a16:creationId xmlns:a16="http://schemas.microsoft.com/office/drawing/2014/main" id="{00000000-0008-0000-1600-00000F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132</xdr:row>
      <xdr:rowOff>0</xdr:rowOff>
    </xdr:from>
    <xdr:ext cx="381000" cy="381000"/>
    <xdr:pic>
      <xdr:nvPicPr>
        <xdr:cNvPr id="528" name="image287.png">
          <a:extLst>
            <a:ext uri="{FF2B5EF4-FFF2-40B4-BE49-F238E27FC236}">
              <a16:creationId xmlns:a16="http://schemas.microsoft.com/office/drawing/2014/main" id="{00000000-0008-0000-1600-000010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132</xdr:row>
      <xdr:rowOff>0</xdr:rowOff>
    </xdr:from>
    <xdr:ext cx="381000" cy="381000"/>
    <xdr:pic>
      <xdr:nvPicPr>
        <xdr:cNvPr id="529" name="image49.jpg">
          <a:extLst>
            <a:ext uri="{FF2B5EF4-FFF2-40B4-BE49-F238E27FC236}">
              <a16:creationId xmlns:a16="http://schemas.microsoft.com/office/drawing/2014/main" id="{00000000-0008-0000-1600-000011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133</xdr:row>
      <xdr:rowOff>0</xdr:rowOff>
    </xdr:from>
    <xdr:ext cx="762000" cy="381000"/>
    <xdr:pic>
      <xdr:nvPicPr>
        <xdr:cNvPr id="530" name="image286.png">
          <a:extLst>
            <a:ext uri="{FF2B5EF4-FFF2-40B4-BE49-F238E27FC236}">
              <a16:creationId xmlns:a16="http://schemas.microsoft.com/office/drawing/2014/main" id="{00000000-0008-0000-1600-000012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133</xdr:row>
      <xdr:rowOff>0</xdr:rowOff>
    </xdr:from>
    <xdr:ext cx="381000" cy="381000"/>
    <xdr:pic>
      <xdr:nvPicPr>
        <xdr:cNvPr id="531" name="image288.png">
          <a:extLst>
            <a:ext uri="{FF2B5EF4-FFF2-40B4-BE49-F238E27FC236}">
              <a16:creationId xmlns:a16="http://schemas.microsoft.com/office/drawing/2014/main" id="{00000000-0008-0000-1600-000013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133</xdr:row>
      <xdr:rowOff>0</xdr:rowOff>
    </xdr:from>
    <xdr:ext cx="381000" cy="381000"/>
    <xdr:pic>
      <xdr:nvPicPr>
        <xdr:cNvPr id="532" name="image287.png">
          <a:extLst>
            <a:ext uri="{FF2B5EF4-FFF2-40B4-BE49-F238E27FC236}">
              <a16:creationId xmlns:a16="http://schemas.microsoft.com/office/drawing/2014/main" id="{00000000-0008-0000-1600-000014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133</xdr:row>
      <xdr:rowOff>0</xdr:rowOff>
    </xdr:from>
    <xdr:ext cx="381000" cy="381000"/>
    <xdr:pic>
      <xdr:nvPicPr>
        <xdr:cNvPr id="533" name="image49.jpg">
          <a:extLst>
            <a:ext uri="{FF2B5EF4-FFF2-40B4-BE49-F238E27FC236}">
              <a16:creationId xmlns:a16="http://schemas.microsoft.com/office/drawing/2014/main" id="{00000000-0008-0000-1600-000015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134</xdr:row>
      <xdr:rowOff>0</xdr:rowOff>
    </xdr:from>
    <xdr:ext cx="762000" cy="381000"/>
    <xdr:pic>
      <xdr:nvPicPr>
        <xdr:cNvPr id="534" name="image286.png">
          <a:extLst>
            <a:ext uri="{FF2B5EF4-FFF2-40B4-BE49-F238E27FC236}">
              <a16:creationId xmlns:a16="http://schemas.microsoft.com/office/drawing/2014/main" id="{00000000-0008-0000-1600-000016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134</xdr:row>
      <xdr:rowOff>0</xdr:rowOff>
    </xdr:from>
    <xdr:ext cx="381000" cy="381000"/>
    <xdr:pic>
      <xdr:nvPicPr>
        <xdr:cNvPr id="535" name="image288.png">
          <a:extLst>
            <a:ext uri="{FF2B5EF4-FFF2-40B4-BE49-F238E27FC236}">
              <a16:creationId xmlns:a16="http://schemas.microsoft.com/office/drawing/2014/main" id="{00000000-0008-0000-1600-000017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134</xdr:row>
      <xdr:rowOff>0</xdr:rowOff>
    </xdr:from>
    <xdr:ext cx="381000" cy="381000"/>
    <xdr:pic>
      <xdr:nvPicPr>
        <xdr:cNvPr id="536" name="image287.png">
          <a:extLst>
            <a:ext uri="{FF2B5EF4-FFF2-40B4-BE49-F238E27FC236}">
              <a16:creationId xmlns:a16="http://schemas.microsoft.com/office/drawing/2014/main" id="{00000000-0008-0000-1600-000018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134</xdr:row>
      <xdr:rowOff>0</xdr:rowOff>
    </xdr:from>
    <xdr:ext cx="381000" cy="381000"/>
    <xdr:pic>
      <xdr:nvPicPr>
        <xdr:cNvPr id="537" name="image49.jpg">
          <a:extLst>
            <a:ext uri="{FF2B5EF4-FFF2-40B4-BE49-F238E27FC236}">
              <a16:creationId xmlns:a16="http://schemas.microsoft.com/office/drawing/2014/main" id="{00000000-0008-0000-1600-000019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135</xdr:row>
      <xdr:rowOff>0</xdr:rowOff>
    </xdr:from>
    <xdr:ext cx="762000" cy="381000"/>
    <xdr:pic>
      <xdr:nvPicPr>
        <xdr:cNvPr id="538" name="image286.png">
          <a:extLst>
            <a:ext uri="{FF2B5EF4-FFF2-40B4-BE49-F238E27FC236}">
              <a16:creationId xmlns:a16="http://schemas.microsoft.com/office/drawing/2014/main" id="{00000000-0008-0000-1600-00001A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135</xdr:row>
      <xdr:rowOff>0</xdr:rowOff>
    </xdr:from>
    <xdr:ext cx="381000" cy="381000"/>
    <xdr:pic>
      <xdr:nvPicPr>
        <xdr:cNvPr id="539" name="image288.png">
          <a:extLst>
            <a:ext uri="{FF2B5EF4-FFF2-40B4-BE49-F238E27FC236}">
              <a16:creationId xmlns:a16="http://schemas.microsoft.com/office/drawing/2014/main" id="{00000000-0008-0000-1600-00001B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135</xdr:row>
      <xdr:rowOff>0</xdr:rowOff>
    </xdr:from>
    <xdr:ext cx="381000" cy="381000"/>
    <xdr:pic>
      <xdr:nvPicPr>
        <xdr:cNvPr id="540" name="image287.png">
          <a:extLst>
            <a:ext uri="{FF2B5EF4-FFF2-40B4-BE49-F238E27FC236}">
              <a16:creationId xmlns:a16="http://schemas.microsoft.com/office/drawing/2014/main" id="{00000000-0008-0000-1600-00001C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135</xdr:row>
      <xdr:rowOff>0</xdr:rowOff>
    </xdr:from>
    <xdr:ext cx="381000" cy="381000"/>
    <xdr:pic>
      <xdr:nvPicPr>
        <xdr:cNvPr id="541" name="image49.jpg">
          <a:extLst>
            <a:ext uri="{FF2B5EF4-FFF2-40B4-BE49-F238E27FC236}">
              <a16:creationId xmlns:a16="http://schemas.microsoft.com/office/drawing/2014/main" id="{00000000-0008-0000-1600-00001D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136</xdr:row>
      <xdr:rowOff>0</xdr:rowOff>
    </xdr:from>
    <xdr:ext cx="762000" cy="381000"/>
    <xdr:pic>
      <xdr:nvPicPr>
        <xdr:cNvPr id="542" name="image286.png">
          <a:extLst>
            <a:ext uri="{FF2B5EF4-FFF2-40B4-BE49-F238E27FC236}">
              <a16:creationId xmlns:a16="http://schemas.microsoft.com/office/drawing/2014/main" id="{00000000-0008-0000-1600-00001E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136</xdr:row>
      <xdr:rowOff>0</xdr:rowOff>
    </xdr:from>
    <xdr:ext cx="381000" cy="381000"/>
    <xdr:pic>
      <xdr:nvPicPr>
        <xdr:cNvPr id="543" name="image288.png">
          <a:extLst>
            <a:ext uri="{FF2B5EF4-FFF2-40B4-BE49-F238E27FC236}">
              <a16:creationId xmlns:a16="http://schemas.microsoft.com/office/drawing/2014/main" id="{00000000-0008-0000-1600-00001F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136</xdr:row>
      <xdr:rowOff>0</xdr:rowOff>
    </xdr:from>
    <xdr:ext cx="381000" cy="381000"/>
    <xdr:pic>
      <xdr:nvPicPr>
        <xdr:cNvPr id="544" name="image287.png">
          <a:extLst>
            <a:ext uri="{FF2B5EF4-FFF2-40B4-BE49-F238E27FC236}">
              <a16:creationId xmlns:a16="http://schemas.microsoft.com/office/drawing/2014/main" id="{00000000-0008-0000-1600-000020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136</xdr:row>
      <xdr:rowOff>0</xdr:rowOff>
    </xdr:from>
    <xdr:ext cx="381000" cy="381000"/>
    <xdr:pic>
      <xdr:nvPicPr>
        <xdr:cNvPr id="545" name="image49.jpg">
          <a:extLst>
            <a:ext uri="{FF2B5EF4-FFF2-40B4-BE49-F238E27FC236}">
              <a16:creationId xmlns:a16="http://schemas.microsoft.com/office/drawing/2014/main" id="{00000000-0008-0000-1600-000021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137</xdr:row>
      <xdr:rowOff>0</xdr:rowOff>
    </xdr:from>
    <xdr:ext cx="762000" cy="381000"/>
    <xdr:pic>
      <xdr:nvPicPr>
        <xdr:cNvPr id="546" name="image286.png">
          <a:extLst>
            <a:ext uri="{FF2B5EF4-FFF2-40B4-BE49-F238E27FC236}">
              <a16:creationId xmlns:a16="http://schemas.microsoft.com/office/drawing/2014/main" id="{00000000-0008-0000-1600-000022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137</xdr:row>
      <xdr:rowOff>0</xdr:rowOff>
    </xdr:from>
    <xdr:ext cx="381000" cy="381000"/>
    <xdr:pic>
      <xdr:nvPicPr>
        <xdr:cNvPr id="547" name="image288.png">
          <a:extLst>
            <a:ext uri="{FF2B5EF4-FFF2-40B4-BE49-F238E27FC236}">
              <a16:creationId xmlns:a16="http://schemas.microsoft.com/office/drawing/2014/main" id="{00000000-0008-0000-1600-000023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137</xdr:row>
      <xdr:rowOff>0</xdr:rowOff>
    </xdr:from>
    <xdr:ext cx="381000" cy="381000"/>
    <xdr:pic>
      <xdr:nvPicPr>
        <xdr:cNvPr id="548" name="image287.png">
          <a:extLst>
            <a:ext uri="{FF2B5EF4-FFF2-40B4-BE49-F238E27FC236}">
              <a16:creationId xmlns:a16="http://schemas.microsoft.com/office/drawing/2014/main" id="{00000000-0008-0000-1600-000024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137</xdr:row>
      <xdr:rowOff>0</xdr:rowOff>
    </xdr:from>
    <xdr:ext cx="381000" cy="381000"/>
    <xdr:pic>
      <xdr:nvPicPr>
        <xdr:cNvPr id="549" name="image49.jpg">
          <a:extLst>
            <a:ext uri="{FF2B5EF4-FFF2-40B4-BE49-F238E27FC236}">
              <a16:creationId xmlns:a16="http://schemas.microsoft.com/office/drawing/2014/main" id="{00000000-0008-0000-1600-000025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138</xdr:row>
      <xdr:rowOff>0</xdr:rowOff>
    </xdr:from>
    <xdr:ext cx="762000" cy="381000"/>
    <xdr:pic>
      <xdr:nvPicPr>
        <xdr:cNvPr id="550" name="image286.png">
          <a:extLst>
            <a:ext uri="{FF2B5EF4-FFF2-40B4-BE49-F238E27FC236}">
              <a16:creationId xmlns:a16="http://schemas.microsoft.com/office/drawing/2014/main" id="{00000000-0008-0000-1600-000026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138</xdr:row>
      <xdr:rowOff>0</xdr:rowOff>
    </xdr:from>
    <xdr:ext cx="381000" cy="381000"/>
    <xdr:pic>
      <xdr:nvPicPr>
        <xdr:cNvPr id="551" name="image288.png">
          <a:extLst>
            <a:ext uri="{FF2B5EF4-FFF2-40B4-BE49-F238E27FC236}">
              <a16:creationId xmlns:a16="http://schemas.microsoft.com/office/drawing/2014/main" id="{00000000-0008-0000-1600-000027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138</xdr:row>
      <xdr:rowOff>0</xdr:rowOff>
    </xdr:from>
    <xdr:ext cx="381000" cy="381000"/>
    <xdr:pic>
      <xdr:nvPicPr>
        <xdr:cNvPr id="552" name="image287.png">
          <a:extLst>
            <a:ext uri="{FF2B5EF4-FFF2-40B4-BE49-F238E27FC236}">
              <a16:creationId xmlns:a16="http://schemas.microsoft.com/office/drawing/2014/main" id="{00000000-0008-0000-1600-000028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138</xdr:row>
      <xdr:rowOff>0</xdr:rowOff>
    </xdr:from>
    <xdr:ext cx="381000" cy="381000"/>
    <xdr:pic>
      <xdr:nvPicPr>
        <xdr:cNvPr id="553" name="image49.jpg">
          <a:extLst>
            <a:ext uri="{FF2B5EF4-FFF2-40B4-BE49-F238E27FC236}">
              <a16:creationId xmlns:a16="http://schemas.microsoft.com/office/drawing/2014/main" id="{00000000-0008-0000-1600-000029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139</xdr:row>
      <xdr:rowOff>0</xdr:rowOff>
    </xdr:from>
    <xdr:ext cx="762000" cy="381000"/>
    <xdr:pic>
      <xdr:nvPicPr>
        <xdr:cNvPr id="554" name="image286.png">
          <a:extLst>
            <a:ext uri="{FF2B5EF4-FFF2-40B4-BE49-F238E27FC236}">
              <a16:creationId xmlns:a16="http://schemas.microsoft.com/office/drawing/2014/main" id="{00000000-0008-0000-1600-00002A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139</xdr:row>
      <xdr:rowOff>0</xdr:rowOff>
    </xdr:from>
    <xdr:ext cx="381000" cy="381000"/>
    <xdr:pic>
      <xdr:nvPicPr>
        <xdr:cNvPr id="555" name="image288.png">
          <a:extLst>
            <a:ext uri="{FF2B5EF4-FFF2-40B4-BE49-F238E27FC236}">
              <a16:creationId xmlns:a16="http://schemas.microsoft.com/office/drawing/2014/main" id="{00000000-0008-0000-1600-00002B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139</xdr:row>
      <xdr:rowOff>0</xdr:rowOff>
    </xdr:from>
    <xdr:ext cx="381000" cy="381000"/>
    <xdr:pic>
      <xdr:nvPicPr>
        <xdr:cNvPr id="556" name="image287.png">
          <a:extLst>
            <a:ext uri="{FF2B5EF4-FFF2-40B4-BE49-F238E27FC236}">
              <a16:creationId xmlns:a16="http://schemas.microsoft.com/office/drawing/2014/main" id="{00000000-0008-0000-1600-00002C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139</xdr:row>
      <xdr:rowOff>0</xdr:rowOff>
    </xdr:from>
    <xdr:ext cx="381000" cy="381000"/>
    <xdr:pic>
      <xdr:nvPicPr>
        <xdr:cNvPr id="557" name="image49.jpg">
          <a:extLst>
            <a:ext uri="{FF2B5EF4-FFF2-40B4-BE49-F238E27FC236}">
              <a16:creationId xmlns:a16="http://schemas.microsoft.com/office/drawing/2014/main" id="{00000000-0008-0000-1600-00002D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140</xdr:row>
      <xdr:rowOff>0</xdr:rowOff>
    </xdr:from>
    <xdr:ext cx="762000" cy="381000"/>
    <xdr:pic>
      <xdr:nvPicPr>
        <xdr:cNvPr id="558" name="image286.png">
          <a:extLst>
            <a:ext uri="{FF2B5EF4-FFF2-40B4-BE49-F238E27FC236}">
              <a16:creationId xmlns:a16="http://schemas.microsoft.com/office/drawing/2014/main" id="{00000000-0008-0000-1600-00002E02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xdr:col>
      <xdr:colOff>0</xdr:colOff>
      <xdr:row>140</xdr:row>
      <xdr:rowOff>0</xdr:rowOff>
    </xdr:from>
    <xdr:ext cx="381000" cy="381000"/>
    <xdr:pic>
      <xdr:nvPicPr>
        <xdr:cNvPr id="559" name="image288.png">
          <a:extLst>
            <a:ext uri="{FF2B5EF4-FFF2-40B4-BE49-F238E27FC236}">
              <a16:creationId xmlns:a16="http://schemas.microsoft.com/office/drawing/2014/main" id="{00000000-0008-0000-1600-00002F02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140</xdr:row>
      <xdr:rowOff>0</xdr:rowOff>
    </xdr:from>
    <xdr:ext cx="381000" cy="381000"/>
    <xdr:pic>
      <xdr:nvPicPr>
        <xdr:cNvPr id="560" name="image287.png">
          <a:extLst>
            <a:ext uri="{FF2B5EF4-FFF2-40B4-BE49-F238E27FC236}">
              <a16:creationId xmlns:a16="http://schemas.microsoft.com/office/drawing/2014/main" id="{00000000-0008-0000-1600-00003002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3</xdr:col>
      <xdr:colOff>0</xdr:colOff>
      <xdr:row>140</xdr:row>
      <xdr:rowOff>0</xdr:rowOff>
    </xdr:from>
    <xdr:ext cx="381000" cy="381000"/>
    <xdr:pic>
      <xdr:nvPicPr>
        <xdr:cNvPr id="561" name="image49.jpg">
          <a:extLst>
            <a:ext uri="{FF2B5EF4-FFF2-40B4-BE49-F238E27FC236}">
              <a16:creationId xmlns:a16="http://schemas.microsoft.com/office/drawing/2014/main" id="{00000000-0008-0000-1600-00003102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0</xdr:colOff>
      <xdr:row>1</xdr:row>
      <xdr:rowOff>0</xdr:rowOff>
    </xdr:from>
    <xdr:ext cx="552450" cy="552450"/>
    <xdr:pic>
      <xdr:nvPicPr>
        <xdr:cNvPr id="2" name="image20.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xdr:row>
      <xdr:rowOff>0</xdr:rowOff>
    </xdr:from>
    <xdr:ext cx="552450" cy="552450"/>
    <xdr:pic>
      <xdr:nvPicPr>
        <xdr:cNvPr id="3" name="image4.jpg">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xdr:row>
      <xdr:rowOff>0</xdr:rowOff>
    </xdr:from>
    <xdr:ext cx="552450" cy="552450"/>
    <xdr:pic>
      <xdr:nvPicPr>
        <xdr:cNvPr id="4" name="image12.jpg">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4</xdr:row>
      <xdr:rowOff>0</xdr:rowOff>
    </xdr:from>
    <xdr:ext cx="552450" cy="552450"/>
    <xdr:pic>
      <xdr:nvPicPr>
        <xdr:cNvPr id="5" name="image27.jpg">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5</xdr:row>
      <xdr:rowOff>0</xdr:rowOff>
    </xdr:from>
    <xdr:ext cx="552450" cy="552450"/>
    <xdr:pic>
      <xdr:nvPicPr>
        <xdr:cNvPr id="6" name="image14.jpg">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xdr:row>
      <xdr:rowOff>0</xdr:rowOff>
    </xdr:from>
    <xdr:ext cx="552450" cy="552450"/>
    <xdr:pic>
      <xdr:nvPicPr>
        <xdr:cNvPr id="7" name="image9.jpg">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xdr:row>
      <xdr:rowOff>0</xdr:rowOff>
    </xdr:from>
    <xdr:ext cx="552450" cy="552450"/>
    <xdr:pic>
      <xdr:nvPicPr>
        <xdr:cNvPr id="8" name="image10.jpg">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8</xdr:row>
      <xdr:rowOff>0</xdr:rowOff>
    </xdr:from>
    <xdr:ext cx="552450" cy="552450"/>
    <xdr:pic>
      <xdr:nvPicPr>
        <xdr:cNvPr id="9" name="image6.jpg">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xdr:row>
      <xdr:rowOff>0</xdr:rowOff>
    </xdr:from>
    <xdr:ext cx="552450" cy="552450"/>
    <xdr:pic>
      <xdr:nvPicPr>
        <xdr:cNvPr id="10" name="image22.jpg">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10</xdr:row>
      <xdr:rowOff>0</xdr:rowOff>
    </xdr:from>
    <xdr:ext cx="552450" cy="552450"/>
    <xdr:pic>
      <xdr:nvPicPr>
        <xdr:cNvPr id="11" name="image16.jpg">
          <a:extLst>
            <a:ext uri="{FF2B5EF4-FFF2-40B4-BE49-F238E27FC236}">
              <a16:creationId xmlns:a16="http://schemas.microsoft.com/office/drawing/2014/main" id="{00000000-0008-0000-03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11</xdr:row>
      <xdr:rowOff>0</xdr:rowOff>
    </xdr:from>
    <xdr:ext cx="552450" cy="552450"/>
    <xdr:pic>
      <xdr:nvPicPr>
        <xdr:cNvPr id="12" name="image5.jpg">
          <a:extLst>
            <a:ext uri="{FF2B5EF4-FFF2-40B4-BE49-F238E27FC236}">
              <a16:creationId xmlns:a16="http://schemas.microsoft.com/office/drawing/2014/main" id="{00000000-0008-0000-03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12</xdr:row>
      <xdr:rowOff>0</xdr:rowOff>
    </xdr:from>
    <xdr:ext cx="552450" cy="552450"/>
    <xdr:pic>
      <xdr:nvPicPr>
        <xdr:cNvPr id="13" name="image19.jpg">
          <a:extLst>
            <a:ext uri="{FF2B5EF4-FFF2-40B4-BE49-F238E27FC236}">
              <a16:creationId xmlns:a16="http://schemas.microsoft.com/office/drawing/2014/main" id="{00000000-0008-0000-03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13</xdr:row>
      <xdr:rowOff>0</xdr:rowOff>
    </xdr:from>
    <xdr:ext cx="552450" cy="552450"/>
    <xdr:pic>
      <xdr:nvPicPr>
        <xdr:cNvPr id="14" name="image1.jpg">
          <a:extLst>
            <a:ext uri="{FF2B5EF4-FFF2-40B4-BE49-F238E27FC236}">
              <a16:creationId xmlns:a16="http://schemas.microsoft.com/office/drawing/2014/main" id="{00000000-0008-0000-03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14</xdr:row>
      <xdr:rowOff>0</xdr:rowOff>
    </xdr:from>
    <xdr:ext cx="552450" cy="552450"/>
    <xdr:pic>
      <xdr:nvPicPr>
        <xdr:cNvPr id="15" name="image11.jpg">
          <a:extLst>
            <a:ext uri="{FF2B5EF4-FFF2-40B4-BE49-F238E27FC236}">
              <a16:creationId xmlns:a16="http://schemas.microsoft.com/office/drawing/2014/main" id="{00000000-0008-0000-03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15</xdr:row>
      <xdr:rowOff>0</xdr:rowOff>
    </xdr:from>
    <xdr:ext cx="552450" cy="552450"/>
    <xdr:pic>
      <xdr:nvPicPr>
        <xdr:cNvPr id="16" name="image26.jpg">
          <a:extLst>
            <a:ext uri="{FF2B5EF4-FFF2-40B4-BE49-F238E27FC236}">
              <a16:creationId xmlns:a16="http://schemas.microsoft.com/office/drawing/2014/main" id="{00000000-0008-0000-03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16</xdr:row>
      <xdr:rowOff>0</xdr:rowOff>
    </xdr:from>
    <xdr:ext cx="552450" cy="552450"/>
    <xdr:pic>
      <xdr:nvPicPr>
        <xdr:cNvPr id="17" name="image7.jpg">
          <a:extLst>
            <a:ext uri="{FF2B5EF4-FFF2-40B4-BE49-F238E27FC236}">
              <a16:creationId xmlns:a16="http://schemas.microsoft.com/office/drawing/2014/main" id="{00000000-0008-0000-03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17</xdr:row>
      <xdr:rowOff>0</xdr:rowOff>
    </xdr:from>
    <xdr:ext cx="552450" cy="552450"/>
    <xdr:pic>
      <xdr:nvPicPr>
        <xdr:cNvPr id="18" name="image8.jpg">
          <a:extLst>
            <a:ext uri="{FF2B5EF4-FFF2-40B4-BE49-F238E27FC236}">
              <a16:creationId xmlns:a16="http://schemas.microsoft.com/office/drawing/2014/main" id="{00000000-0008-0000-03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18</xdr:row>
      <xdr:rowOff>0</xdr:rowOff>
    </xdr:from>
    <xdr:ext cx="552450" cy="552450"/>
    <xdr:pic>
      <xdr:nvPicPr>
        <xdr:cNvPr id="19" name="image18.jpg">
          <a:extLst>
            <a:ext uri="{FF2B5EF4-FFF2-40B4-BE49-F238E27FC236}">
              <a16:creationId xmlns:a16="http://schemas.microsoft.com/office/drawing/2014/main" id="{00000000-0008-0000-03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19</xdr:row>
      <xdr:rowOff>0</xdr:rowOff>
    </xdr:from>
    <xdr:ext cx="552450" cy="552450"/>
    <xdr:pic>
      <xdr:nvPicPr>
        <xdr:cNvPr id="20" name="image15.jpg">
          <a:extLst>
            <a:ext uri="{FF2B5EF4-FFF2-40B4-BE49-F238E27FC236}">
              <a16:creationId xmlns:a16="http://schemas.microsoft.com/office/drawing/2014/main" id="{00000000-0008-0000-03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20</xdr:row>
      <xdr:rowOff>0</xdr:rowOff>
    </xdr:from>
    <xdr:ext cx="552450" cy="552450"/>
    <xdr:pic>
      <xdr:nvPicPr>
        <xdr:cNvPr id="21" name="image3.jpg">
          <a:extLst>
            <a:ext uri="{FF2B5EF4-FFF2-40B4-BE49-F238E27FC236}">
              <a16:creationId xmlns:a16="http://schemas.microsoft.com/office/drawing/2014/main" id="{00000000-0008-0000-03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21</xdr:row>
      <xdr:rowOff>0</xdr:rowOff>
    </xdr:from>
    <xdr:ext cx="552450" cy="552450"/>
    <xdr:pic>
      <xdr:nvPicPr>
        <xdr:cNvPr id="22" name="image2.jpg">
          <a:extLst>
            <a:ext uri="{FF2B5EF4-FFF2-40B4-BE49-F238E27FC236}">
              <a16:creationId xmlns:a16="http://schemas.microsoft.com/office/drawing/2014/main" id="{00000000-0008-0000-03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22</xdr:row>
      <xdr:rowOff>0</xdr:rowOff>
    </xdr:from>
    <xdr:ext cx="552450" cy="552450"/>
    <xdr:pic>
      <xdr:nvPicPr>
        <xdr:cNvPr id="23" name="image21.jpg">
          <a:extLst>
            <a:ext uri="{FF2B5EF4-FFF2-40B4-BE49-F238E27FC236}">
              <a16:creationId xmlns:a16="http://schemas.microsoft.com/office/drawing/2014/main" id="{00000000-0008-0000-03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23</xdr:row>
      <xdr:rowOff>0</xdr:rowOff>
    </xdr:from>
    <xdr:ext cx="552450" cy="552450"/>
    <xdr:pic>
      <xdr:nvPicPr>
        <xdr:cNvPr id="24" name="image17.jpg">
          <a:extLst>
            <a:ext uri="{FF2B5EF4-FFF2-40B4-BE49-F238E27FC236}">
              <a16:creationId xmlns:a16="http://schemas.microsoft.com/office/drawing/2014/main" id="{00000000-0008-0000-03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xdr:col>
      <xdr:colOff>0</xdr:colOff>
      <xdr:row>24</xdr:row>
      <xdr:rowOff>0</xdr:rowOff>
    </xdr:from>
    <xdr:ext cx="552450" cy="552450"/>
    <xdr:pic>
      <xdr:nvPicPr>
        <xdr:cNvPr id="25" name="image13.jpg">
          <a:extLst>
            <a:ext uri="{FF2B5EF4-FFF2-40B4-BE49-F238E27FC236}">
              <a16:creationId xmlns:a16="http://schemas.microsoft.com/office/drawing/2014/main" id="{00000000-0008-0000-03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25</xdr:row>
      <xdr:rowOff>0</xdr:rowOff>
    </xdr:from>
    <xdr:ext cx="552450" cy="552450"/>
    <xdr:pic>
      <xdr:nvPicPr>
        <xdr:cNvPr id="26" name="image25.jpg">
          <a:extLst>
            <a:ext uri="{FF2B5EF4-FFF2-40B4-BE49-F238E27FC236}">
              <a16:creationId xmlns:a16="http://schemas.microsoft.com/office/drawing/2014/main" id="{00000000-0008-0000-03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26</xdr:row>
      <xdr:rowOff>0</xdr:rowOff>
    </xdr:from>
    <xdr:ext cx="552450" cy="552450"/>
    <xdr:pic>
      <xdr:nvPicPr>
        <xdr:cNvPr id="27" name="image24.jpg">
          <a:extLst>
            <a:ext uri="{FF2B5EF4-FFF2-40B4-BE49-F238E27FC236}">
              <a16:creationId xmlns:a16="http://schemas.microsoft.com/office/drawing/2014/main" id="{00000000-0008-0000-03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27</xdr:row>
      <xdr:rowOff>0</xdr:rowOff>
    </xdr:from>
    <xdr:ext cx="552450" cy="552450"/>
    <xdr:pic>
      <xdr:nvPicPr>
        <xdr:cNvPr id="28" name="image29.jpg">
          <a:extLst>
            <a:ext uri="{FF2B5EF4-FFF2-40B4-BE49-F238E27FC236}">
              <a16:creationId xmlns:a16="http://schemas.microsoft.com/office/drawing/2014/main" id="{00000000-0008-0000-03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28</xdr:row>
      <xdr:rowOff>0</xdr:rowOff>
    </xdr:from>
    <xdr:ext cx="552450" cy="552450"/>
    <xdr:pic>
      <xdr:nvPicPr>
        <xdr:cNvPr id="29" name="image28.jpg">
          <a:extLst>
            <a:ext uri="{FF2B5EF4-FFF2-40B4-BE49-F238E27FC236}">
              <a16:creationId xmlns:a16="http://schemas.microsoft.com/office/drawing/2014/main" id="{00000000-0008-0000-03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29</xdr:row>
      <xdr:rowOff>0</xdr:rowOff>
    </xdr:from>
    <xdr:ext cx="552450" cy="552450"/>
    <xdr:pic>
      <xdr:nvPicPr>
        <xdr:cNvPr id="30" name="image32.jpg">
          <a:extLst>
            <a:ext uri="{FF2B5EF4-FFF2-40B4-BE49-F238E27FC236}">
              <a16:creationId xmlns:a16="http://schemas.microsoft.com/office/drawing/2014/main" id="{00000000-0008-0000-03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30</xdr:row>
      <xdr:rowOff>0</xdr:rowOff>
    </xdr:from>
    <xdr:ext cx="552450" cy="552450"/>
    <xdr:pic>
      <xdr:nvPicPr>
        <xdr:cNvPr id="31" name="image47.jpg">
          <a:extLst>
            <a:ext uri="{FF2B5EF4-FFF2-40B4-BE49-F238E27FC236}">
              <a16:creationId xmlns:a16="http://schemas.microsoft.com/office/drawing/2014/main" id="{00000000-0008-0000-03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31</xdr:row>
      <xdr:rowOff>0</xdr:rowOff>
    </xdr:from>
    <xdr:ext cx="552450" cy="552450"/>
    <xdr:pic>
      <xdr:nvPicPr>
        <xdr:cNvPr id="32" name="image57.jpg">
          <a:extLst>
            <a:ext uri="{FF2B5EF4-FFF2-40B4-BE49-F238E27FC236}">
              <a16:creationId xmlns:a16="http://schemas.microsoft.com/office/drawing/2014/main" id="{00000000-0008-0000-03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xdr:col>
      <xdr:colOff>0</xdr:colOff>
      <xdr:row>32</xdr:row>
      <xdr:rowOff>0</xdr:rowOff>
    </xdr:from>
    <xdr:ext cx="552450" cy="552450"/>
    <xdr:pic>
      <xdr:nvPicPr>
        <xdr:cNvPr id="33" name="image34.jpg">
          <a:extLst>
            <a:ext uri="{FF2B5EF4-FFF2-40B4-BE49-F238E27FC236}">
              <a16:creationId xmlns:a16="http://schemas.microsoft.com/office/drawing/2014/main" id="{00000000-0008-0000-03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33</xdr:row>
      <xdr:rowOff>0</xdr:rowOff>
    </xdr:from>
    <xdr:ext cx="552450" cy="552450"/>
    <xdr:pic>
      <xdr:nvPicPr>
        <xdr:cNvPr id="34" name="image44.jpg">
          <a:extLst>
            <a:ext uri="{FF2B5EF4-FFF2-40B4-BE49-F238E27FC236}">
              <a16:creationId xmlns:a16="http://schemas.microsoft.com/office/drawing/2014/main" id="{00000000-0008-0000-03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34</xdr:row>
      <xdr:rowOff>0</xdr:rowOff>
    </xdr:from>
    <xdr:ext cx="552450" cy="552450"/>
    <xdr:pic>
      <xdr:nvPicPr>
        <xdr:cNvPr id="35" name="image40.jpg">
          <a:extLst>
            <a:ext uri="{FF2B5EF4-FFF2-40B4-BE49-F238E27FC236}">
              <a16:creationId xmlns:a16="http://schemas.microsoft.com/office/drawing/2014/main" id="{00000000-0008-0000-03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xdr:col>
      <xdr:colOff>0</xdr:colOff>
      <xdr:row>35</xdr:row>
      <xdr:rowOff>0</xdr:rowOff>
    </xdr:from>
    <xdr:ext cx="552450" cy="552450"/>
    <xdr:pic>
      <xdr:nvPicPr>
        <xdr:cNvPr id="36" name="image48.jpg">
          <a:extLst>
            <a:ext uri="{FF2B5EF4-FFF2-40B4-BE49-F238E27FC236}">
              <a16:creationId xmlns:a16="http://schemas.microsoft.com/office/drawing/2014/main" id="{00000000-0008-0000-03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36</xdr:row>
      <xdr:rowOff>0</xdr:rowOff>
    </xdr:from>
    <xdr:ext cx="552450" cy="552450"/>
    <xdr:pic>
      <xdr:nvPicPr>
        <xdr:cNvPr id="37" name="image31.jpg">
          <a:extLst>
            <a:ext uri="{FF2B5EF4-FFF2-40B4-BE49-F238E27FC236}">
              <a16:creationId xmlns:a16="http://schemas.microsoft.com/office/drawing/2014/main" id="{00000000-0008-0000-03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37</xdr:row>
      <xdr:rowOff>0</xdr:rowOff>
    </xdr:from>
    <xdr:ext cx="552450" cy="552450"/>
    <xdr:pic>
      <xdr:nvPicPr>
        <xdr:cNvPr id="38" name="image30.jpg">
          <a:extLst>
            <a:ext uri="{FF2B5EF4-FFF2-40B4-BE49-F238E27FC236}">
              <a16:creationId xmlns:a16="http://schemas.microsoft.com/office/drawing/2014/main" id="{00000000-0008-0000-03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38</xdr:row>
      <xdr:rowOff>0</xdr:rowOff>
    </xdr:from>
    <xdr:ext cx="552450" cy="552450"/>
    <xdr:pic>
      <xdr:nvPicPr>
        <xdr:cNvPr id="39" name="image38.jpg">
          <a:extLst>
            <a:ext uri="{FF2B5EF4-FFF2-40B4-BE49-F238E27FC236}">
              <a16:creationId xmlns:a16="http://schemas.microsoft.com/office/drawing/2014/main" id="{00000000-0008-0000-03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39</xdr:row>
      <xdr:rowOff>0</xdr:rowOff>
    </xdr:from>
    <xdr:ext cx="552450" cy="552450"/>
    <xdr:pic>
      <xdr:nvPicPr>
        <xdr:cNvPr id="40" name="image35.jpg">
          <a:extLst>
            <a:ext uri="{FF2B5EF4-FFF2-40B4-BE49-F238E27FC236}">
              <a16:creationId xmlns:a16="http://schemas.microsoft.com/office/drawing/2014/main" id="{00000000-0008-0000-03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40</xdr:row>
      <xdr:rowOff>0</xdr:rowOff>
    </xdr:from>
    <xdr:ext cx="552450" cy="552450"/>
    <xdr:pic>
      <xdr:nvPicPr>
        <xdr:cNvPr id="41" name="image52.jpg">
          <a:extLst>
            <a:ext uri="{FF2B5EF4-FFF2-40B4-BE49-F238E27FC236}">
              <a16:creationId xmlns:a16="http://schemas.microsoft.com/office/drawing/2014/main" id="{00000000-0008-0000-03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41</xdr:row>
      <xdr:rowOff>0</xdr:rowOff>
    </xdr:from>
    <xdr:ext cx="552450" cy="552450"/>
    <xdr:pic>
      <xdr:nvPicPr>
        <xdr:cNvPr id="42" name="image36.jpg">
          <a:extLst>
            <a:ext uri="{FF2B5EF4-FFF2-40B4-BE49-F238E27FC236}">
              <a16:creationId xmlns:a16="http://schemas.microsoft.com/office/drawing/2014/main" id="{00000000-0008-0000-0300-00002A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42</xdr:row>
      <xdr:rowOff>0</xdr:rowOff>
    </xdr:from>
    <xdr:ext cx="552450" cy="552450"/>
    <xdr:pic>
      <xdr:nvPicPr>
        <xdr:cNvPr id="43" name="image33.jpg">
          <a:extLst>
            <a:ext uri="{FF2B5EF4-FFF2-40B4-BE49-F238E27FC236}">
              <a16:creationId xmlns:a16="http://schemas.microsoft.com/office/drawing/2014/main" id="{00000000-0008-0000-0300-00002B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43</xdr:row>
      <xdr:rowOff>0</xdr:rowOff>
    </xdr:from>
    <xdr:ext cx="552450" cy="552450"/>
    <xdr:pic>
      <xdr:nvPicPr>
        <xdr:cNvPr id="44" name="image51.jpg">
          <a:extLst>
            <a:ext uri="{FF2B5EF4-FFF2-40B4-BE49-F238E27FC236}">
              <a16:creationId xmlns:a16="http://schemas.microsoft.com/office/drawing/2014/main" id="{00000000-0008-0000-0300-00002C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44</xdr:row>
      <xdr:rowOff>0</xdr:rowOff>
    </xdr:from>
    <xdr:ext cx="552450" cy="552450"/>
    <xdr:pic>
      <xdr:nvPicPr>
        <xdr:cNvPr id="45" name="image45.jpg">
          <a:extLst>
            <a:ext uri="{FF2B5EF4-FFF2-40B4-BE49-F238E27FC236}">
              <a16:creationId xmlns:a16="http://schemas.microsoft.com/office/drawing/2014/main" id="{00000000-0008-0000-0300-00002D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45</xdr:row>
      <xdr:rowOff>0</xdr:rowOff>
    </xdr:from>
    <xdr:ext cx="552450" cy="552450"/>
    <xdr:pic>
      <xdr:nvPicPr>
        <xdr:cNvPr id="46" name="image43.jpg">
          <a:extLst>
            <a:ext uri="{FF2B5EF4-FFF2-40B4-BE49-F238E27FC236}">
              <a16:creationId xmlns:a16="http://schemas.microsoft.com/office/drawing/2014/main" id="{00000000-0008-0000-0300-00002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46</xdr:row>
      <xdr:rowOff>0</xdr:rowOff>
    </xdr:from>
    <xdr:ext cx="552450" cy="552450"/>
    <xdr:pic>
      <xdr:nvPicPr>
        <xdr:cNvPr id="47" name="image54.jpg">
          <a:extLst>
            <a:ext uri="{FF2B5EF4-FFF2-40B4-BE49-F238E27FC236}">
              <a16:creationId xmlns:a16="http://schemas.microsoft.com/office/drawing/2014/main" id="{00000000-0008-0000-0300-00002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xdr:col>
      <xdr:colOff>0</xdr:colOff>
      <xdr:row>47</xdr:row>
      <xdr:rowOff>0</xdr:rowOff>
    </xdr:from>
    <xdr:ext cx="552450" cy="552450"/>
    <xdr:pic>
      <xdr:nvPicPr>
        <xdr:cNvPr id="48" name="image37.jpg">
          <a:extLst>
            <a:ext uri="{FF2B5EF4-FFF2-40B4-BE49-F238E27FC236}">
              <a16:creationId xmlns:a16="http://schemas.microsoft.com/office/drawing/2014/main" id="{00000000-0008-0000-0300-00003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48</xdr:row>
      <xdr:rowOff>0</xdr:rowOff>
    </xdr:from>
    <xdr:ext cx="552450" cy="552450"/>
    <xdr:pic>
      <xdr:nvPicPr>
        <xdr:cNvPr id="49" name="image39.jpg">
          <a:extLst>
            <a:ext uri="{FF2B5EF4-FFF2-40B4-BE49-F238E27FC236}">
              <a16:creationId xmlns:a16="http://schemas.microsoft.com/office/drawing/2014/main" id="{00000000-0008-0000-0300-00003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49</xdr:row>
      <xdr:rowOff>0</xdr:rowOff>
    </xdr:from>
    <xdr:ext cx="552450" cy="552450"/>
    <xdr:pic>
      <xdr:nvPicPr>
        <xdr:cNvPr id="50" name="image46.jpg">
          <a:extLst>
            <a:ext uri="{FF2B5EF4-FFF2-40B4-BE49-F238E27FC236}">
              <a16:creationId xmlns:a16="http://schemas.microsoft.com/office/drawing/2014/main" id="{00000000-0008-0000-0300-00003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50</xdr:row>
      <xdr:rowOff>0</xdr:rowOff>
    </xdr:from>
    <xdr:ext cx="552450" cy="552450"/>
    <xdr:pic>
      <xdr:nvPicPr>
        <xdr:cNvPr id="51" name="image60.jpg">
          <a:extLst>
            <a:ext uri="{FF2B5EF4-FFF2-40B4-BE49-F238E27FC236}">
              <a16:creationId xmlns:a16="http://schemas.microsoft.com/office/drawing/2014/main" id="{00000000-0008-0000-0300-00003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51</xdr:row>
      <xdr:rowOff>0</xdr:rowOff>
    </xdr:from>
    <xdr:ext cx="552450" cy="552450"/>
    <xdr:pic>
      <xdr:nvPicPr>
        <xdr:cNvPr id="52" name="image42.jpg">
          <a:extLst>
            <a:ext uri="{FF2B5EF4-FFF2-40B4-BE49-F238E27FC236}">
              <a16:creationId xmlns:a16="http://schemas.microsoft.com/office/drawing/2014/main" id="{00000000-0008-0000-0300-000034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xdr:col>
      <xdr:colOff>0</xdr:colOff>
      <xdr:row>52</xdr:row>
      <xdr:rowOff>0</xdr:rowOff>
    </xdr:from>
    <xdr:ext cx="552450" cy="552450"/>
    <xdr:pic>
      <xdr:nvPicPr>
        <xdr:cNvPr id="53" name="image41.jpg">
          <a:extLst>
            <a:ext uri="{FF2B5EF4-FFF2-40B4-BE49-F238E27FC236}">
              <a16:creationId xmlns:a16="http://schemas.microsoft.com/office/drawing/2014/main" id="{00000000-0008-0000-0300-000035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xdr:col>
      <xdr:colOff>0</xdr:colOff>
      <xdr:row>53</xdr:row>
      <xdr:rowOff>0</xdr:rowOff>
    </xdr:from>
    <xdr:ext cx="552450" cy="552450"/>
    <xdr:pic>
      <xdr:nvPicPr>
        <xdr:cNvPr id="54" name="image53.jpg">
          <a:extLst>
            <a:ext uri="{FF2B5EF4-FFF2-40B4-BE49-F238E27FC236}">
              <a16:creationId xmlns:a16="http://schemas.microsoft.com/office/drawing/2014/main" id="{00000000-0008-0000-0300-000036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xdr:col>
      <xdr:colOff>0</xdr:colOff>
      <xdr:row>54</xdr:row>
      <xdr:rowOff>0</xdr:rowOff>
    </xdr:from>
    <xdr:ext cx="552450" cy="552450"/>
    <xdr:pic>
      <xdr:nvPicPr>
        <xdr:cNvPr id="55" name="image49.jpg">
          <a:extLst>
            <a:ext uri="{FF2B5EF4-FFF2-40B4-BE49-F238E27FC236}">
              <a16:creationId xmlns:a16="http://schemas.microsoft.com/office/drawing/2014/main" id="{00000000-0008-0000-0300-000037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xdr:col>
      <xdr:colOff>0</xdr:colOff>
      <xdr:row>55</xdr:row>
      <xdr:rowOff>0</xdr:rowOff>
    </xdr:from>
    <xdr:ext cx="552450" cy="552450"/>
    <xdr:pic>
      <xdr:nvPicPr>
        <xdr:cNvPr id="56" name="image50.jpg">
          <a:extLst>
            <a:ext uri="{FF2B5EF4-FFF2-40B4-BE49-F238E27FC236}">
              <a16:creationId xmlns:a16="http://schemas.microsoft.com/office/drawing/2014/main" id="{00000000-0008-0000-0300-000038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0</xdr:colOff>
      <xdr:row>1</xdr:row>
      <xdr:rowOff>0</xdr:rowOff>
    </xdr:from>
    <xdr:ext cx="381000" cy="381000"/>
    <xdr:pic>
      <xdr:nvPicPr>
        <xdr:cNvPr id="2" name="image58.jpg">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2</xdr:row>
      <xdr:rowOff>0</xdr:rowOff>
    </xdr:from>
    <xdr:ext cx="381000" cy="381000"/>
    <xdr:pic>
      <xdr:nvPicPr>
        <xdr:cNvPr id="3" name="image65.png">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3</xdr:row>
      <xdr:rowOff>0</xdr:rowOff>
    </xdr:from>
    <xdr:ext cx="381000" cy="381000"/>
    <xdr:pic>
      <xdr:nvPicPr>
        <xdr:cNvPr id="4" name="image65.png">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4</xdr:row>
      <xdr:rowOff>0</xdr:rowOff>
    </xdr:from>
    <xdr:ext cx="381000" cy="381000"/>
    <xdr:pic>
      <xdr:nvPicPr>
        <xdr:cNvPr id="5" name="image65.png">
          <a:extLst>
            <a:ext uri="{FF2B5EF4-FFF2-40B4-BE49-F238E27FC236}">
              <a16:creationId xmlns:a16="http://schemas.microsoft.com/office/drawing/2014/main" id="{00000000-0008-0000-04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5</xdr:row>
      <xdr:rowOff>0</xdr:rowOff>
    </xdr:from>
    <xdr:ext cx="381000" cy="381000"/>
    <xdr:pic>
      <xdr:nvPicPr>
        <xdr:cNvPr id="6" name="image55.jpg">
          <a:extLst>
            <a:ext uri="{FF2B5EF4-FFF2-40B4-BE49-F238E27FC236}">
              <a16:creationId xmlns:a16="http://schemas.microsoft.com/office/drawing/2014/main" id="{00000000-0008-0000-0400-00000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6</xdr:row>
      <xdr:rowOff>0</xdr:rowOff>
    </xdr:from>
    <xdr:ext cx="381000" cy="381000"/>
    <xdr:pic>
      <xdr:nvPicPr>
        <xdr:cNvPr id="7" name="image59.jpg">
          <a:extLst>
            <a:ext uri="{FF2B5EF4-FFF2-40B4-BE49-F238E27FC236}">
              <a16:creationId xmlns:a16="http://schemas.microsoft.com/office/drawing/2014/main" id="{00000000-0008-0000-04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0</xdr:col>
      <xdr:colOff>0</xdr:colOff>
      <xdr:row>7</xdr:row>
      <xdr:rowOff>0</xdr:rowOff>
    </xdr:from>
    <xdr:ext cx="381000" cy="381000"/>
    <xdr:pic>
      <xdr:nvPicPr>
        <xdr:cNvPr id="8" name="image51.jpg">
          <a:extLst>
            <a:ext uri="{FF2B5EF4-FFF2-40B4-BE49-F238E27FC236}">
              <a16:creationId xmlns:a16="http://schemas.microsoft.com/office/drawing/2014/main" id="{00000000-0008-0000-0400-00000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0</xdr:col>
      <xdr:colOff>0</xdr:colOff>
      <xdr:row>8</xdr:row>
      <xdr:rowOff>0</xdr:rowOff>
    </xdr:from>
    <xdr:ext cx="381000" cy="381000"/>
    <xdr:pic>
      <xdr:nvPicPr>
        <xdr:cNvPr id="9" name="image51.jpg">
          <a:extLst>
            <a:ext uri="{FF2B5EF4-FFF2-40B4-BE49-F238E27FC236}">
              <a16:creationId xmlns:a16="http://schemas.microsoft.com/office/drawing/2014/main" id="{00000000-0008-0000-0400-00000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0</xdr:col>
      <xdr:colOff>0</xdr:colOff>
      <xdr:row>9</xdr:row>
      <xdr:rowOff>0</xdr:rowOff>
    </xdr:from>
    <xdr:ext cx="381000" cy="381000"/>
    <xdr:pic>
      <xdr:nvPicPr>
        <xdr:cNvPr id="10" name="image62.jpg">
          <a:extLst>
            <a:ext uri="{FF2B5EF4-FFF2-40B4-BE49-F238E27FC236}">
              <a16:creationId xmlns:a16="http://schemas.microsoft.com/office/drawing/2014/main" id="{00000000-0008-0000-0400-00000A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0</xdr:col>
      <xdr:colOff>0</xdr:colOff>
      <xdr:row>10</xdr:row>
      <xdr:rowOff>0</xdr:rowOff>
    </xdr:from>
    <xdr:ext cx="381000" cy="381000"/>
    <xdr:pic>
      <xdr:nvPicPr>
        <xdr:cNvPr id="11" name="image56.jpg">
          <a:extLst>
            <a:ext uri="{FF2B5EF4-FFF2-40B4-BE49-F238E27FC236}">
              <a16:creationId xmlns:a16="http://schemas.microsoft.com/office/drawing/2014/main" id="{00000000-0008-0000-0400-00000B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0</xdr:colOff>
      <xdr:row>11</xdr:row>
      <xdr:rowOff>0</xdr:rowOff>
    </xdr:from>
    <xdr:ext cx="381000" cy="381000"/>
    <xdr:pic>
      <xdr:nvPicPr>
        <xdr:cNvPr id="12" name="image75.jpg">
          <a:extLst>
            <a:ext uri="{FF2B5EF4-FFF2-40B4-BE49-F238E27FC236}">
              <a16:creationId xmlns:a16="http://schemas.microsoft.com/office/drawing/2014/main" id="{00000000-0008-0000-0400-00000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0</xdr:colOff>
      <xdr:row>12</xdr:row>
      <xdr:rowOff>0</xdr:rowOff>
    </xdr:from>
    <xdr:ext cx="381000" cy="381000"/>
    <xdr:pic>
      <xdr:nvPicPr>
        <xdr:cNvPr id="13" name="image75.jpg">
          <a:extLst>
            <a:ext uri="{FF2B5EF4-FFF2-40B4-BE49-F238E27FC236}">
              <a16:creationId xmlns:a16="http://schemas.microsoft.com/office/drawing/2014/main" id="{00000000-0008-0000-0400-00000D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0</xdr:colOff>
      <xdr:row>13</xdr:row>
      <xdr:rowOff>0</xdr:rowOff>
    </xdr:from>
    <xdr:ext cx="381000" cy="381000"/>
    <xdr:pic>
      <xdr:nvPicPr>
        <xdr:cNvPr id="14" name="image75.jpg">
          <a:extLst>
            <a:ext uri="{FF2B5EF4-FFF2-40B4-BE49-F238E27FC236}">
              <a16:creationId xmlns:a16="http://schemas.microsoft.com/office/drawing/2014/main" id="{00000000-0008-0000-0400-00000E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0</xdr:colOff>
      <xdr:row>14</xdr:row>
      <xdr:rowOff>0</xdr:rowOff>
    </xdr:from>
    <xdr:ext cx="381000" cy="381000"/>
    <xdr:pic>
      <xdr:nvPicPr>
        <xdr:cNvPr id="15" name="image73.jpg">
          <a:extLst>
            <a:ext uri="{FF2B5EF4-FFF2-40B4-BE49-F238E27FC236}">
              <a16:creationId xmlns:a16="http://schemas.microsoft.com/office/drawing/2014/main" id="{00000000-0008-0000-0400-00000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0</xdr:colOff>
      <xdr:row>15</xdr:row>
      <xdr:rowOff>0</xdr:rowOff>
    </xdr:from>
    <xdr:ext cx="381000" cy="381000"/>
    <xdr:pic>
      <xdr:nvPicPr>
        <xdr:cNvPr id="16" name="image61.jpg">
          <a:extLst>
            <a:ext uri="{FF2B5EF4-FFF2-40B4-BE49-F238E27FC236}">
              <a16:creationId xmlns:a16="http://schemas.microsoft.com/office/drawing/2014/main" id="{00000000-0008-0000-0400-000010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0</xdr:colOff>
      <xdr:row>16</xdr:row>
      <xdr:rowOff>0</xdr:rowOff>
    </xdr:from>
    <xdr:ext cx="381000" cy="381000"/>
    <xdr:pic>
      <xdr:nvPicPr>
        <xdr:cNvPr id="17" name="image66.jpg">
          <a:extLst>
            <a:ext uri="{FF2B5EF4-FFF2-40B4-BE49-F238E27FC236}">
              <a16:creationId xmlns:a16="http://schemas.microsoft.com/office/drawing/2014/main" id="{00000000-0008-0000-0400-000011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0</xdr:col>
      <xdr:colOff>0</xdr:colOff>
      <xdr:row>17</xdr:row>
      <xdr:rowOff>0</xdr:rowOff>
    </xdr:from>
    <xdr:ext cx="381000" cy="381000"/>
    <xdr:pic>
      <xdr:nvPicPr>
        <xdr:cNvPr id="18" name="image71.jpg">
          <a:extLst>
            <a:ext uri="{FF2B5EF4-FFF2-40B4-BE49-F238E27FC236}">
              <a16:creationId xmlns:a16="http://schemas.microsoft.com/office/drawing/2014/main" id="{00000000-0008-0000-0400-000012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0</xdr:col>
      <xdr:colOff>0</xdr:colOff>
      <xdr:row>18</xdr:row>
      <xdr:rowOff>0</xdr:rowOff>
    </xdr:from>
    <xdr:ext cx="381000" cy="381000"/>
    <xdr:pic>
      <xdr:nvPicPr>
        <xdr:cNvPr id="19" name="image71.jpg">
          <a:extLst>
            <a:ext uri="{FF2B5EF4-FFF2-40B4-BE49-F238E27FC236}">
              <a16:creationId xmlns:a16="http://schemas.microsoft.com/office/drawing/2014/main" id="{00000000-0008-0000-0400-000013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0</xdr:col>
      <xdr:colOff>0</xdr:colOff>
      <xdr:row>19</xdr:row>
      <xdr:rowOff>0</xdr:rowOff>
    </xdr:from>
    <xdr:ext cx="381000" cy="381000"/>
    <xdr:pic>
      <xdr:nvPicPr>
        <xdr:cNvPr id="20" name="image26.jpg">
          <a:extLst>
            <a:ext uri="{FF2B5EF4-FFF2-40B4-BE49-F238E27FC236}">
              <a16:creationId xmlns:a16="http://schemas.microsoft.com/office/drawing/2014/main" id="{00000000-0008-0000-0400-000014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0</xdr:col>
      <xdr:colOff>0</xdr:colOff>
      <xdr:row>20</xdr:row>
      <xdr:rowOff>0</xdr:rowOff>
    </xdr:from>
    <xdr:ext cx="381000" cy="381000"/>
    <xdr:pic>
      <xdr:nvPicPr>
        <xdr:cNvPr id="21" name="image26.jpg">
          <a:extLst>
            <a:ext uri="{FF2B5EF4-FFF2-40B4-BE49-F238E27FC236}">
              <a16:creationId xmlns:a16="http://schemas.microsoft.com/office/drawing/2014/main" id="{00000000-0008-0000-0400-000015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0</xdr:col>
      <xdr:colOff>0</xdr:colOff>
      <xdr:row>21</xdr:row>
      <xdr:rowOff>0</xdr:rowOff>
    </xdr:from>
    <xdr:ext cx="381000" cy="381000"/>
    <xdr:pic>
      <xdr:nvPicPr>
        <xdr:cNvPr id="22" name="image77.jpg">
          <a:extLst>
            <a:ext uri="{FF2B5EF4-FFF2-40B4-BE49-F238E27FC236}">
              <a16:creationId xmlns:a16="http://schemas.microsoft.com/office/drawing/2014/main" id="{00000000-0008-0000-0400-000016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0</xdr:col>
      <xdr:colOff>0</xdr:colOff>
      <xdr:row>22</xdr:row>
      <xdr:rowOff>0</xdr:rowOff>
    </xdr:from>
    <xdr:ext cx="381000" cy="381000"/>
    <xdr:pic>
      <xdr:nvPicPr>
        <xdr:cNvPr id="23" name="image64.jpg">
          <a:extLst>
            <a:ext uri="{FF2B5EF4-FFF2-40B4-BE49-F238E27FC236}">
              <a16:creationId xmlns:a16="http://schemas.microsoft.com/office/drawing/2014/main" id="{00000000-0008-0000-0400-000017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0</xdr:col>
      <xdr:colOff>0</xdr:colOff>
      <xdr:row>23</xdr:row>
      <xdr:rowOff>0</xdr:rowOff>
    </xdr:from>
    <xdr:ext cx="381000" cy="381000"/>
    <xdr:pic>
      <xdr:nvPicPr>
        <xdr:cNvPr id="24" name="image64.jpg">
          <a:extLst>
            <a:ext uri="{FF2B5EF4-FFF2-40B4-BE49-F238E27FC236}">
              <a16:creationId xmlns:a16="http://schemas.microsoft.com/office/drawing/2014/main" id="{00000000-0008-0000-0400-000018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0</xdr:col>
      <xdr:colOff>0</xdr:colOff>
      <xdr:row>24</xdr:row>
      <xdr:rowOff>0</xdr:rowOff>
    </xdr:from>
    <xdr:ext cx="381000" cy="381000"/>
    <xdr:pic>
      <xdr:nvPicPr>
        <xdr:cNvPr id="25" name="image64.jpg">
          <a:extLst>
            <a:ext uri="{FF2B5EF4-FFF2-40B4-BE49-F238E27FC236}">
              <a16:creationId xmlns:a16="http://schemas.microsoft.com/office/drawing/2014/main" id="{00000000-0008-0000-0400-000019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0</xdr:col>
      <xdr:colOff>0</xdr:colOff>
      <xdr:row>25</xdr:row>
      <xdr:rowOff>0</xdr:rowOff>
    </xdr:from>
    <xdr:ext cx="381000" cy="381000"/>
    <xdr:pic>
      <xdr:nvPicPr>
        <xdr:cNvPr id="26" name="image68.jpg">
          <a:extLst>
            <a:ext uri="{FF2B5EF4-FFF2-40B4-BE49-F238E27FC236}">
              <a16:creationId xmlns:a16="http://schemas.microsoft.com/office/drawing/2014/main" id="{00000000-0008-0000-0400-00001A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0</xdr:col>
      <xdr:colOff>0</xdr:colOff>
      <xdr:row>26</xdr:row>
      <xdr:rowOff>0</xdr:rowOff>
    </xdr:from>
    <xdr:ext cx="381000" cy="381000"/>
    <xdr:pic>
      <xdr:nvPicPr>
        <xdr:cNvPr id="27" name="image72.jpg">
          <a:extLst>
            <a:ext uri="{FF2B5EF4-FFF2-40B4-BE49-F238E27FC236}">
              <a16:creationId xmlns:a16="http://schemas.microsoft.com/office/drawing/2014/main" id="{00000000-0008-0000-0400-00001B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0</xdr:col>
      <xdr:colOff>0</xdr:colOff>
      <xdr:row>27</xdr:row>
      <xdr:rowOff>0</xdr:rowOff>
    </xdr:from>
    <xdr:ext cx="381000" cy="381000"/>
    <xdr:pic>
      <xdr:nvPicPr>
        <xdr:cNvPr id="28" name="image49.jpg">
          <a:extLst>
            <a:ext uri="{FF2B5EF4-FFF2-40B4-BE49-F238E27FC236}">
              <a16:creationId xmlns:a16="http://schemas.microsoft.com/office/drawing/2014/main" id="{00000000-0008-0000-0400-00001C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0</xdr:col>
      <xdr:colOff>0</xdr:colOff>
      <xdr:row>28</xdr:row>
      <xdr:rowOff>0</xdr:rowOff>
    </xdr:from>
    <xdr:ext cx="381000" cy="381000"/>
    <xdr:pic>
      <xdr:nvPicPr>
        <xdr:cNvPr id="29" name="image49.jpg">
          <a:extLst>
            <a:ext uri="{FF2B5EF4-FFF2-40B4-BE49-F238E27FC236}">
              <a16:creationId xmlns:a16="http://schemas.microsoft.com/office/drawing/2014/main" id="{00000000-0008-0000-0400-00001D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0</xdr:col>
      <xdr:colOff>0</xdr:colOff>
      <xdr:row>29</xdr:row>
      <xdr:rowOff>0</xdr:rowOff>
    </xdr:from>
    <xdr:ext cx="381000" cy="381000"/>
    <xdr:pic>
      <xdr:nvPicPr>
        <xdr:cNvPr id="30" name="image76.jpg">
          <a:extLst>
            <a:ext uri="{FF2B5EF4-FFF2-40B4-BE49-F238E27FC236}">
              <a16:creationId xmlns:a16="http://schemas.microsoft.com/office/drawing/2014/main" id="{00000000-0008-0000-0400-00001E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0</xdr:col>
      <xdr:colOff>0</xdr:colOff>
      <xdr:row>30</xdr:row>
      <xdr:rowOff>0</xdr:rowOff>
    </xdr:from>
    <xdr:ext cx="381000" cy="381000"/>
    <xdr:pic>
      <xdr:nvPicPr>
        <xdr:cNvPr id="31" name="image67.jpg">
          <a:extLst>
            <a:ext uri="{FF2B5EF4-FFF2-40B4-BE49-F238E27FC236}">
              <a16:creationId xmlns:a16="http://schemas.microsoft.com/office/drawing/2014/main" id="{00000000-0008-0000-0400-00001F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0</xdr:col>
      <xdr:colOff>0</xdr:colOff>
      <xdr:row>31</xdr:row>
      <xdr:rowOff>0</xdr:rowOff>
    </xdr:from>
    <xdr:ext cx="381000" cy="381000"/>
    <xdr:pic>
      <xdr:nvPicPr>
        <xdr:cNvPr id="32" name="image22.jpg">
          <a:extLst>
            <a:ext uri="{FF2B5EF4-FFF2-40B4-BE49-F238E27FC236}">
              <a16:creationId xmlns:a16="http://schemas.microsoft.com/office/drawing/2014/main" id="{00000000-0008-0000-0400-00002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0</xdr:col>
      <xdr:colOff>0</xdr:colOff>
      <xdr:row>32</xdr:row>
      <xdr:rowOff>0</xdr:rowOff>
    </xdr:from>
    <xdr:ext cx="381000" cy="381000"/>
    <xdr:pic>
      <xdr:nvPicPr>
        <xdr:cNvPr id="33" name="image22.jpg">
          <a:extLst>
            <a:ext uri="{FF2B5EF4-FFF2-40B4-BE49-F238E27FC236}">
              <a16:creationId xmlns:a16="http://schemas.microsoft.com/office/drawing/2014/main" id="{00000000-0008-0000-0400-000021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0</xdr:col>
      <xdr:colOff>0</xdr:colOff>
      <xdr:row>33</xdr:row>
      <xdr:rowOff>0</xdr:rowOff>
    </xdr:from>
    <xdr:ext cx="381000" cy="381000"/>
    <xdr:pic>
      <xdr:nvPicPr>
        <xdr:cNvPr id="34" name="image63.jpg">
          <a:extLst>
            <a:ext uri="{FF2B5EF4-FFF2-40B4-BE49-F238E27FC236}">
              <a16:creationId xmlns:a16="http://schemas.microsoft.com/office/drawing/2014/main" id="{00000000-0008-0000-0400-000022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0</xdr:col>
      <xdr:colOff>0</xdr:colOff>
      <xdr:row>34</xdr:row>
      <xdr:rowOff>0</xdr:rowOff>
    </xdr:from>
    <xdr:ext cx="381000" cy="381000"/>
    <xdr:pic>
      <xdr:nvPicPr>
        <xdr:cNvPr id="35" name="image69.jpg">
          <a:extLst>
            <a:ext uri="{FF2B5EF4-FFF2-40B4-BE49-F238E27FC236}">
              <a16:creationId xmlns:a16="http://schemas.microsoft.com/office/drawing/2014/main" id="{00000000-0008-0000-0400-000023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35</xdr:row>
      <xdr:rowOff>0</xdr:rowOff>
    </xdr:from>
    <xdr:ext cx="381000" cy="381000"/>
    <xdr:pic>
      <xdr:nvPicPr>
        <xdr:cNvPr id="36" name="image69.jpg">
          <a:extLst>
            <a:ext uri="{FF2B5EF4-FFF2-40B4-BE49-F238E27FC236}">
              <a16:creationId xmlns:a16="http://schemas.microsoft.com/office/drawing/2014/main" id="{00000000-0008-0000-0400-000024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36</xdr:row>
      <xdr:rowOff>0</xdr:rowOff>
    </xdr:from>
    <xdr:ext cx="381000" cy="381000"/>
    <xdr:pic>
      <xdr:nvPicPr>
        <xdr:cNvPr id="37" name="image70.jpg">
          <a:extLst>
            <a:ext uri="{FF2B5EF4-FFF2-40B4-BE49-F238E27FC236}">
              <a16:creationId xmlns:a16="http://schemas.microsoft.com/office/drawing/2014/main" id="{00000000-0008-0000-0400-00002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37</xdr:row>
      <xdr:rowOff>0</xdr:rowOff>
    </xdr:from>
    <xdr:ext cx="381000" cy="381000"/>
    <xdr:pic>
      <xdr:nvPicPr>
        <xdr:cNvPr id="38" name="image74.jpg">
          <a:extLst>
            <a:ext uri="{FF2B5EF4-FFF2-40B4-BE49-F238E27FC236}">
              <a16:creationId xmlns:a16="http://schemas.microsoft.com/office/drawing/2014/main" id="{00000000-0008-0000-0400-000026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0</xdr:col>
      <xdr:colOff>0</xdr:colOff>
      <xdr:row>38</xdr:row>
      <xdr:rowOff>0</xdr:rowOff>
    </xdr:from>
    <xdr:ext cx="381000" cy="381000"/>
    <xdr:pic>
      <xdr:nvPicPr>
        <xdr:cNvPr id="39" name="image74.jpg">
          <a:extLst>
            <a:ext uri="{FF2B5EF4-FFF2-40B4-BE49-F238E27FC236}">
              <a16:creationId xmlns:a16="http://schemas.microsoft.com/office/drawing/2014/main" id="{00000000-0008-0000-0400-000027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0</xdr:col>
      <xdr:colOff>0</xdr:colOff>
      <xdr:row>39</xdr:row>
      <xdr:rowOff>0</xdr:rowOff>
    </xdr:from>
    <xdr:ext cx="381000" cy="381000"/>
    <xdr:pic>
      <xdr:nvPicPr>
        <xdr:cNvPr id="40" name="image36.jpg">
          <a:extLst>
            <a:ext uri="{FF2B5EF4-FFF2-40B4-BE49-F238E27FC236}">
              <a16:creationId xmlns:a16="http://schemas.microsoft.com/office/drawing/2014/main" id="{00000000-0008-0000-0400-000028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0</xdr:col>
      <xdr:colOff>0</xdr:colOff>
      <xdr:row>40</xdr:row>
      <xdr:rowOff>0</xdr:rowOff>
    </xdr:from>
    <xdr:ext cx="381000" cy="381000"/>
    <xdr:pic>
      <xdr:nvPicPr>
        <xdr:cNvPr id="41" name="image80.jpg">
          <a:extLst>
            <a:ext uri="{FF2B5EF4-FFF2-40B4-BE49-F238E27FC236}">
              <a16:creationId xmlns:a16="http://schemas.microsoft.com/office/drawing/2014/main" id="{00000000-0008-0000-0400-000029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0</xdr:col>
      <xdr:colOff>0</xdr:colOff>
      <xdr:row>41</xdr:row>
      <xdr:rowOff>0</xdr:rowOff>
    </xdr:from>
    <xdr:ext cx="381000" cy="381000"/>
    <xdr:pic>
      <xdr:nvPicPr>
        <xdr:cNvPr id="42" name="image84.jpg">
          <a:extLst>
            <a:ext uri="{FF2B5EF4-FFF2-40B4-BE49-F238E27FC236}">
              <a16:creationId xmlns:a16="http://schemas.microsoft.com/office/drawing/2014/main" id="{00000000-0008-0000-0400-00002A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0</xdr:col>
      <xdr:colOff>0</xdr:colOff>
      <xdr:row>42</xdr:row>
      <xdr:rowOff>0</xdr:rowOff>
    </xdr:from>
    <xdr:ext cx="381000" cy="381000"/>
    <xdr:pic>
      <xdr:nvPicPr>
        <xdr:cNvPr id="43" name="image86.jpg">
          <a:extLst>
            <a:ext uri="{FF2B5EF4-FFF2-40B4-BE49-F238E27FC236}">
              <a16:creationId xmlns:a16="http://schemas.microsoft.com/office/drawing/2014/main" id="{00000000-0008-0000-0400-00002B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0</xdr:col>
      <xdr:colOff>0</xdr:colOff>
      <xdr:row>43</xdr:row>
      <xdr:rowOff>0</xdr:rowOff>
    </xdr:from>
    <xdr:ext cx="381000" cy="381000"/>
    <xdr:pic>
      <xdr:nvPicPr>
        <xdr:cNvPr id="44" name="image86.jpg">
          <a:extLst>
            <a:ext uri="{FF2B5EF4-FFF2-40B4-BE49-F238E27FC236}">
              <a16:creationId xmlns:a16="http://schemas.microsoft.com/office/drawing/2014/main" id="{00000000-0008-0000-0400-00002C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0</xdr:col>
      <xdr:colOff>0</xdr:colOff>
      <xdr:row>44</xdr:row>
      <xdr:rowOff>0</xdr:rowOff>
    </xdr:from>
    <xdr:ext cx="381000" cy="381000"/>
    <xdr:pic>
      <xdr:nvPicPr>
        <xdr:cNvPr id="45" name="image86.jpg">
          <a:extLst>
            <a:ext uri="{FF2B5EF4-FFF2-40B4-BE49-F238E27FC236}">
              <a16:creationId xmlns:a16="http://schemas.microsoft.com/office/drawing/2014/main" id="{00000000-0008-0000-0400-00002D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0</xdr:col>
      <xdr:colOff>0</xdr:colOff>
      <xdr:row>45</xdr:row>
      <xdr:rowOff>0</xdr:rowOff>
    </xdr:from>
    <xdr:ext cx="381000" cy="381000"/>
    <xdr:pic>
      <xdr:nvPicPr>
        <xdr:cNvPr id="46" name="image82.jpg">
          <a:extLst>
            <a:ext uri="{FF2B5EF4-FFF2-40B4-BE49-F238E27FC236}">
              <a16:creationId xmlns:a16="http://schemas.microsoft.com/office/drawing/2014/main" id="{00000000-0008-0000-0400-00002E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0</xdr:col>
      <xdr:colOff>0</xdr:colOff>
      <xdr:row>46</xdr:row>
      <xdr:rowOff>0</xdr:rowOff>
    </xdr:from>
    <xdr:ext cx="381000" cy="381000"/>
    <xdr:pic>
      <xdr:nvPicPr>
        <xdr:cNvPr id="47" name="image91.jpg">
          <a:extLst>
            <a:ext uri="{FF2B5EF4-FFF2-40B4-BE49-F238E27FC236}">
              <a16:creationId xmlns:a16="http://schemas.microsoft.com/office/drawing/2014/main" id="{00000000-0008-0000-0400-00002F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0</xdr:col>
      <xdr:colOff>0</xdr:colOff>
      <xdr:row>47</xdr:row>
      <xdr:rowOff>0</xdr:rowOff>
    </xdr:from>
    <xdr:ext cx="381000" cy="381000"/>
    <xdr:pic>
      <xdr:nvPicPr>
        <xdr:cNvPr id="48" name="image83.jpg">
          <a:extLst>
            <a:ext uri="{FF2B5EF4-FFF2-40B4-BE49-F238E27FC236}">
              <a16:creationId xmlns:a16="http://schemas.microsoft.com/office/drawing/2014/main" id="{00000000-0008-0000-0400-000030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0</xdr:col>
      <xdr:colOff>0</xdr:colOff>
      <xdr:row>48</xdr:row>
      <xdr:rowOff>0</xdr:rowOff>
    </xdr:from>
    <xdr:ext cx="381000" cy="381000"/>
    <xdr:pic>
      <xdr:nvPicPr>
        <xdr:cNvPr id="49" name="image79.jpg">
          <a:extLst>
            <a:ext uri="{FF2B5EF4-FFF2-40B4-BE49-F238E27FC236}">
              <a16:creationId xmlns:a16="http://schemas.microsoft.com/office/drawing/2014/main" id="{00000000-0008-0000-0400-000031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0</xdr:col>
      <xdr:colOff>0</xdr:colOff>
      <xdr:row>49</xdr:row>
      <xdr:rowOff>0</xdr:rowOff>
    </xdr:from>
    <xdr:ext cx="381000" cy="381000"/>
    <xdr:pic>
      <xdr:nvPicPr>
        <xdr:cNvPr id="50" name="image81.jpg">
          <a:extLst>
            <a:ext uri="{FF2B5EF4-FFF2-40B4-BE49-F238E27FC236}">
              <a16:creationId xmlns:a16="http://schemas.microsoft.com/office/drawing/2014/main" id="{00000000-0008-0000-0400-000032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0</xdr:col>
      <xdr:colOff>0</xdr:colOff>
      <xdr:row>50</xdr:row>
      <xdr:rowOff>0</xdr:rowOff>
    </xdr:from>
    <xdr:ext cx="381000" cy="381000"/>
    <xdr:pic>
      <xdr:nvPicPr>
        <xdr:cNvPr id="51" name="image85.jpg">
          <a:extLst>
            <a:ext uri="{FF2B5EF4-FFF2-40B4-BE49-F238E27FC236}">
              <a16:creationId xmlns:a16="http://schemas.microsoft.com/office/drawing/2014/main" id="{00000000-0008-0000-0400-000033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0</xdr:col>
      <xdr:colOff>0</xdr:colOff>
      <xdr:row>51</xdr:row>
      <xdr:rowOff>0</xdr:rowOff>
    </xdr:from>
    <xdr:ext cx="381000" cy="381000"/>
    <xdr:pic>
      <xdr:nvPicPr>
        <xdr:cNvPr id="52" name="image85.jpg">
          <a:extLst>
            <a:ext uri="{FF2B5EF4-FFF2-40B4-BE49-F238E27FC236}">
              <a16:creationId xmlns:a16="http://schemas.microsoft.com/office/drawing/2014/main" id="{00000000-0008-0000-0400-00003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0</xdr:col>
      <xdr:colOff>0</xdr:colOff>
      <xdr:row>52</xdr:row>
      <xdr:rowOff>0</xdr:rowOff>
    </xdr:from>
    <xdr:ext cx="381000" cy="381000"/>
    <xdr:pic>
      <xdr:nvPicPr>
        <xdr:cNvPr id="53" name="image85.jpg">
          <a:extLst>
            <a:ext uri="{FF2B5EF4-FFF2-40B4-BE49-F238E27FC236}">
              <a16:creationId xmlns:a16="http://schemas.microsoft.com/office/drawing/2014/main" id="{00000000-0008-0000-0400-000035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0</xdr:col>
      <xdr:colOff>0</xdr:colOff>
      <xdr:row>53</xdr:row>
      <xdr:rowOff>0</xdr:rowOff>
    </xdr:from>
    <xdr:ext cx="381000" cy="381000"/>
    <xdr:pic>
      <xdr:nvPicPr>
        <xdr:cNvPr id="54" name="image89.jpg">
          <a:extLst>
            <a:ext uri="{FF2B5EF4-FFF2-40B4-BE49-F238E27FC236}">
              <a16:creationId xmlns:a16="http://schemas.microsoft.com/office/drawing/2014/main" id="{00000000-0008-0000-0400-000036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0</xdr:col>
      <xdr:colOff>0</xdr:colOff>
      <xdr:row>54</xdr:row>
      <xdr:rowOff>0</xdr:rowOff>
    </xdr:from>
    <xdr:ext cx="381000" cy="381000"/>
    <xdr:pic>
      <xdr:nvPicPr>
        <xdr:cNvPr id="55" name="image87.jpg">
          <a:extLst>
            <a:ext uri="{FF2B5EF4-FFF2-40B4-BE49-F238E27FC236}">
              <a16:creationId xmlns:a16="http://schemas.microsoft.com/office/drawing/2014/main" id="{00000000-0008-0000-0400-000037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0</xdr:col>
      <xdr:colOff>0</xdr:colOff>
      <xdr:row>55</xdr:row>
      <xdr:rowOff>0</xdr:rowOff>
    </xdr:from>
    <xdr:ext cx="381000" cy="381000"/>
    <xdr:pic>
      <xdr:nvPicPr>
        <xdr:cNvPr id="56" name="image20.png">
          <a:extLst>
            <a:ext uri="{FF2B5EF4-FFF2-40B4-BE49-F238E27FC236}">
              <a16:creationId xmlns:a16="http://schemas.microsoft.com/office/drawing/2014/main" id="{00000000-0008-0000-0400-000038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0</xdr:col>
      <xdr:colOff>0</xdr:colOff>
      <xdr:row>56</xdr:row>
      <xdr:rowOff>0</xdr:rowOff>
    </xdr:from>
    <xdr:ext cx="381000" cy="381000"/>
    <xdr:pic>
      <xdr:nvPicPr>
        <xdr:cNvPr id="57" name="image78.jpg">
          <a:extLst>
            <a:ext uri="{FF2B5EF4-FFF2-40B4-BE49-F238E27FC236}">
              <a16:creationId xmlns:a16="http://schemas.microsoft.com/office/drawing/2014/main" id="{00000000-0008-0000-0400-000039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0</xdr:col>
      <xdr:colOff>0</xdr:colOff>
      <xdr:row>57</xdr:row>
      <xdr:rowOff>0</xdr:rowOff>
    </xdr:from>
    <xdr:ext cx="381000" cy="381000"/>
    <xdr:pic>
      <xdr:nvPicPr>
        <xdr:cNvPr id="58" name="image96.jpg">
          <a:extLst>
            <a:ext uri="{FF2B5EF4-FFF2-40B4-BE49-F238E27FC236}">
              <a16:creationId xmlns:a16="http://schemas.microsoft.com/office/drawing/2014/main" id="{00000000-0008-0000-0400-00003A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0</xdr:col>
      <xdr:colOff>0</xdr:colOff>
      <xdr:row>58</xdr:row>
      <xdr:rowOff>0</xdr:rowOff>
    </xdr:from>
    <xdr:ext cx="381000" cy="381000"/>
    <xdr:pic>
      <xdr:nvPicPr>
        <xdr:cNvPr id="59" name="image94.jpg">
          <a:extLst>
            <a:ext uri="{FF2B5EF4-FFF2-40B4-BE49-F238E27FC236}">
              <a16:creationId xmlns:a16="http://schemas.microsoft.com/office/drawing/2014/main" id="{00000000-0008-0000-0400-00003B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0</xdr:col>
      <xdr:colOff>0</xdr:colOff>
      <xdr:row>59</xdr:row>
      <xdr:rowOff>0</xdr:rowOff>
    </xdr:from>
    <xdr:ext cx="381000" cy="381000"/>
    <xdr:pic>
      <xdr:nvPicPr>
        <xdr:cNvPr id="60" name="image94.jpg">
          <a:extLst>
            <a:ext uri="{FF2B5EF4-FFF2-40B4-BE49-F238E27FC236}">
              <a16:creationId xmlns:a16="http://schemas.microsoft.com/office/drawing/2014/main" id="{00000000-0008-0000-0400-00003C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0</xdr:col>
      <xdr:colOff>0</xdr:colOff>
      <xdr:row>60</xdr:row>
      <xdr:rowOff>0</xdr:rowOff>
    </xdr:from>
    <xdr:ext cx="381000" cy="381000"/>
    <xdr:pic>
      <xdr:nvPicPr>
        <xdr:cNvPr id="61" name="image27.jpg">
          <a:extLst>
            <a:ext uri="{FF2B5EF4-FFF2-40B4-BE49-F238E27FC236}">
              <a16:creationId xmlns:a16="http://schemas.microsoft.com/office/drawing/2014/main" id="{00000000-0008-0000-0400-00003D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0</xdr:col>
      <xdr:colOff>0</xdr:colOff>
      <xdr:row>61</xdr:row>
      <xdr:rowOff>0</xdr:rowOff>
    </xdr:from>
    <xdr:ext cx="381000" cy="381000"/>
    <xdr:pic>
      <xdr:nvPicPr>
        <xdr:cNvPr id="62" name="image88.jpg">
          <a:extLst>
            <a:ext uri="{FF2B5EF4-FFF2-40B4-BE49-F238E27FC236}">
              <a16:creationId xmlns:a16="http://schemas.microsoft.com/office/drawing/2014/main" id="{00000000-0008-0000-0400-00003E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0</xdr:col>
      <xdr:colOff>0</xdr:colOff>
      <xdr:row>62</xdr:row>
      <xdr:rowOff>0</xdr:rowOff>
    </xdr:from>
    <xdr:ext cx="381000" cy="381000"/>
    <xdr:pic>
      <xdr:nvPicPr>
        <xdr:cNvPr id="63" name="image95.jpg">
          <a:extLst>
            <a:ext uri="{FF2B5EF4-FFF2-40B4-BE49-F238E27FC236}">
              <a16:creationId xmlns:a16="http://schemas.microsoft.com/office/drawing/2014/main" id="{00000000-0008-0000-0400-00003F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0</xdr:col>
      <xdr:colOff>0</xdr:colOff>
      <xdr:row>63</xdr:row>
      <xdr:rowOff>0</xdr:rowOff>
    </xdr:from>
    <xdr:ext cx="381000" cy="381000"/>
    <xdr:pic>
      <xdr:nvPicPr>
        <xdr:cNvPr id="64" name="image90.jpg">
          <a:extLst>
            <a:ext uri="{FF2B5EF4-FFF2-40B4-BE49-F238E27FC236}">
              <a16:creationId xmlns:a16="http://schemas.microsoft.com/office/drawing/2014/main" id="{00000000-0008-0000-0400-000040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0</xdr:col>
      <xdr:colOff>0</xdr:colOff>
      <xdr:row>64</xdr:row>
      <xdr:rowOff>0</xdr:rowOff>
    </xdr:from>
    <xdr:ext cx="381000" cy="381000"/>
    <xdr:pic>
      <xdr:nvPicPr>
        <xdr:cNvPr id="65" name="image103.jpg">
          <a:extLst>
            <a:ext uri="{FF2B5EF4-FFF2-40B4-BE49-F238E27FC236}">
              <a16:creationId xmlns:a16="http://schemas.microsoft.com/office/drawing/2014/main" id="{00000000-0008-0000-0400-000041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0</xdr:col>
      <xdr:colOff>0</xdr:colOff>
      <xdr:row>65</xdr:row>
      <xdr:rowOff>0</xdr:rowOff>
    </xdr:from>
    <xdr:ext cx="381000" cy="381000"/>
    <xdr:pic>
      <xdr:nvPicPr>
        <xdr:cNvPr id="66" name="image92.jpg">
          <a:extLst>
            <a:ext uri="{FF2B5EF4-FFF2-40B4-BE49-F238E27FC236}">
              <a16:creationId xmlns:a16="http://schemas.microsoft.com/office/drawing/2014/main" id="{00000000-0008-0000-0400-000042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0</xdr:col>
      <xdr:colOff>0</xdr:colOff>
      <xdr:row>66</xdr:row>
      <xdr:rowOff>0</xdr:rowOff>
    </xdr:from>
    <xdr:ext cx="381000" cy="381000"/>
    <xdr:pic>
      <xdr:nvPicPr>
        <xdr:cNvPr id="67" name="image101.jpg">
          <a:extLst>
            <a:ext uri="{FF2B5EF4-FFF2-40B4-BE49-F238E27FC236}">
              <a16:creationId xmlns:a16="http://schemas.microsoft.com/office/drawing/2014/main" id="{00000000-0008-0000-0400-000043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0</xdr:col>
      <xdr:colOff>0</xdr:colOff>
      <xdr:row>67</xdr:row>
      <xdr:rowOff>0</xdr:rowOff>
    </xdr:from>
    <xdr:ext cx="381000" cy="381000"/>
    <xdr:pic>
      <xdr:nvPicPr>
        <xdr:cNvPr id="68" name="image101.jpg">
          <a:extLst>
            <a:ext uri="{FF2B5EF4-FFF2-40B4-BE49-F238E27FC236}">
              <a16:creationId xmlns:a16="http://schemas.microsoft.com/office/drawing/2014/main" id="{00000000-0008-0000-0400-000044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0</xdr:col>
      <xdr:colOff>0</xdr:colOff>
      <xdr:row>68</xdr:row>
      <xdr:rowOff>0</xdr:rowOff>
    </xdr:from>
    <xdr:ext cx="381000" cy="381000"/>
    <xdr:pic>
      <xdr:nvPicPr>
        <xdr:cNvPr id="69" name="image97.jpg">
          <a:extLst>
            <a:ext uri="{FF2B5EF4-FFF2-40B4-BE49-F238E27FC236}">
              <a16:creationId xmlns:a16="http://schemas.microsoft.com/office/drawing/2014/main" id="{00000000-0008-0000-0400-000045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0</xdr:col>
      <xdr:colOff>0</xdr:colOff>
      <xdr:row>69</xdr:row>
      <xdr:rowOff>0</xdr:rowOff>
    </xdr:from>
    <xdr:ext cx="381000" cy="381000"/>
    <xdr:pic>
      <xdr:nvPicPr>
        <xdr:cNvPr id="70" name="image15.jpg">
          <a:extLst>
            <a:ext uri="{FF2B5EF4-FFF2-40B4-BE49-F238E27FC236}">
              <a16:creationId xmlns:a16="http://schemas.microsoft.com/office/drawing/2014/main" id="{00000000-0008-0000-0400-000046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0</xdr:col>
      <xdr:colOff>0</xdr:colOff>
      <xdr:row>70</xdr:row>
      <xdr:rowOff>0</xdr:rowOff>
    </xdr:from>
    <xdr:ext cx="381000" cy="381000"/>
    <xdr:pic>
      <xdr:nvPicPr>
        <xdr:cNvPr id="71" name="image109.jpg">
          <a:extLst>
            <a:ext uri="{FF2B5EF4-FFF2-40B4-BE49-F238E27FC236}">
              <a16:creationId xmlns:a16="http://schemas.microsoft.com/office/drawing/2014/main" id="{00000000-0008-0000-0400-000047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0</xdr:col>
      <xdr:colOff>0</xdr:colOff>
      <xdr:row>71</xdr:row>
      <xdr:rowOff>0</xdr:rowOff>
    </xdr:from>
    <xdr:ext cx="381000" cy="381000"/>
    <xdr:pic>
      <xdr:nvPicPr>
        <xdr:cNvPr id="72" name="image50.jpg">
          <a:extLst>
            <a:ext uri="{FF2B5EF4-FFF2-40B4-BE49-F238E27FC236}">
              <a16:creationId xmlns:a16="http://schemas.microsoft.com/office/drawing/2014/main" id="{00000000-0008-0000-0400-000048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0</xdr:col>
      <xdr:colOff>0</xdr:colOff>
      <xdr:row>72</xdr:row>
      <xdr:rowOff>0</xdr:rowOff>
    </xdr:from>
    <xdr:ext cx="381000" cy="381000"/>
    <xdr:pic>
      <xdr:nvPicPr>
        <xdr:cNvPr id="73" name="image50.jpg">
          <a:extLst>
            <a:ext uri="{FF2B5EF4-FFF2-40B4-BE49-F238E27FC236}">
              <a16:creationId xmlns:a16="http://schemas.microsoft.com/office/drawing/2014/main" id="{00000000-0008-0000-0400-000049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0</xdr:col>
      <xdr:colOff>0</xdr:colOff>
      <xdr:row>73</xdr:row>
      <xdr:rowOff>0</xdr:rowOff>
    </xdr:from>
    <xdr:ext cx="381000" cy="381000"/>
    <xdr:pic>
      <xdr:nvPicPr>
        <xdr:cNvPr id="74" name="image93.jpg">
          <a:extLst>
            <a:ext uri="{FF2B5EF4-FFF2-40B4-BE49-F238E27FC236}">
              <a16:creationId xmlns:a16="http://schemas.microsoft.com/office/drawing/2014/main" id="{00000000-0008-0000-0400-00004A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0</xdr:col>
      <xdr:colOff>0</xdr:colOff>
      <xdr:row>74</xdr:row>
      <xdr:rowOff>0</xdr:rowOff>
    </xdr:from>
    <xdr:ext cx="381000" cy="381000"/>
    <xdr:pic>
      <xdr:nvPicPr>
        <xdr:cNvPr id="75" name="image46.jpg">
          <a:extLst>
            <a:ext uri="{FF2B5EF4-FFF2-40B4-BE49-F238E27FC236}">
              <a16:creationId xmlns:a16="http://schemas.microsoft.com/office/drawing/2014/main" id="{00000000-0008-0000-0400-00004B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0</xdr:col>
      <xdr:colOff>0</xdr:colOff>
      <xdr:row>75</xdr:row>
      <xdr:rowOff>0</xdr:rowOff>
    </xdr:from>
    <xdr:ext cx="381000" cy="381000"/>
    <xdr:pic>
      <xdr:nvPicPr>
        <xdr:cNvPr id="76" name="image46.jpg">
          <a:extLst>
            <a:ext uri="{FF2B5EF4-FFF2-40B4-BE49-F238E27FC236}">
              <a16:creationId xmlns:a16="http://schemas.microsoft.com/office/drawing/2014/main" id="{00000000-0008-0000-0400-00004C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0</xdr:col>
      <xdr:colOff>0</xdr:colOff>
      <xdr:row>76</xdr:row>
      <xdr:rowOff>0</xdr:rowOff>
    </xdr:from>
    <xdr:ext cx="381000" cy="381000"/>
    <xdr:pic>
      <xdr:nvPicPr>
        <xdr:cNvPr id="77" name="image108.jpg">
          <a:extLst>
            <a:ext uri="{FF2B5EF4-FFF2-40B4-BE49-F238E27FC236}">
              <a16:creationId xmlns:a16="http://schemas.microsoft.com/office/drawing/2014/main" id="{00000000-0008-0000-0400-00004D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0</xdr:col>
      <xdr:colOff>0</xdr:colOff>
      <xdr:row>77</xdr:row>
      <xdr:rowOff>0</xdr:rowOff>
    </xdr:from>
    <xdr:ext cx="381000" cy="381000"/>
    <xdr:pic>
      <xdr:nvPicPr>
        <xdr:cNvPr id="78" name="image108.jpg">
          <a:extLst>
            <a:ext uri="{FF2B5EF4-FFF2-40B4-BE49-F238E27FC236}">
              <a16:creationId xmlns:a16="http://schemas.microsoft.com/office/drawing/2014/main" id="{00000000-0008-0000-0400-00004E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0</xdr:col>
      <xdr:colOff>0</xdr:colOff>
      <xdr:row>78</xdr:row>
      <xdr:rowOff>0</xdr:rowOff>
    </xdr:from>
    <xdr:ext cx="381000" cy="381000"/>
    <xdr:pic>
      <xdr:nvPicPr>
        <xdr:cNvPr id="79" name="image17.jpg">
          <a:extLst>
            <a:ext uri="{FF2B5EF4-FFF2-40B4-BE49-F238E27FC236}">
              <a16:creationId xmlns:a16="http://schemas.microsoft.com/office/drawing/2014/main" id="{00000000-0008-0000-0400-00004F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0</xdr:col>
      <xdr:colOff>0</xdr:colOff>
      <xdr:row>79</xdr:row>
      <xdr:rowOff>0</xdr:rowOff>
    </xdr:from>
    <xdr:ext cx="381000" cy="381000"/>
    <xdr:pic>
      <xdr:nvPicPr>
        <xdr:cNvPr id="80" name="image17.jpg">
          <a:extLst>
            <a:ext uri="{FF2B5EF4-FFF2-40B4-BE49-F238E27FC236}">
              <a16:creationId xmlns:a16="http://schemas.microsoft.com/office/drawing/2014/main" id="{00000000-0008-0000-0400-000050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0</xdr:col>
      <xdr:colOff>0</xdr:colOff>
      <xdr:row>80</xdr:row>
      <xdr:rowOff>0</xdr:rowOff>
    </xdr:from>
    <xdr:ext cx="381000" cy="381000"/>
    <xdr:pic>
      <xdr:nvPicPr>
        <xdr:cNvPr id="81" name="image1.jpg">
          <a:extLst>
            <a:ext uri="{FF2B5EF4-FFF2-40B4-BE49-F238E27FC236}">
              <a16:creationId xmlns:a16="http://schemas.microsoft.com/office/drawing/2014/main" id="{00000000-0008-0000-0400-000051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0</xdr:col>
      <xdr:colOff>0</xdr:colOff>
      <xdr:row>81</xdr:row>
      <xdr:rowOff>0</xdr:rowOff>
    </xdr:from>
    <xdr:ext cx="381000" cy="381000"/>
    <xdr:pic>
      <xdr:nvPicPr>
        <xdr:cNvPr id="82" name="image1.jpg">
          <a:extLst>
            <a:ext uri="{FF2B5EF4-FFF2-40B4-BE49-F238E27FC236}">
              <a16:creationId xmlns:a16="http://schemas.microsoft.com/office/drawing/2014/main" id="{00000000-0008-0000-0400-000052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0</xdr:col>
      <xdr:colOff>0</xdr:colOff>
      <xdr:row>82</xdr:row>
      <xdr:rowOff>0</xdr:rowOff>
    </xdr:from>
    <xdr:ext cx="381000" cy="381000"/>
    <xdr:pic>
      <xdr:nvPicPr>
        <xdr:cNvPr id="83" name="image11.jpg">
          <a:extLst>
            <a:ext uri="{FF2B5EF4-FFF2-40B4-BE49-F238E27FC236}">
              <a16:creationId xmlns:a16="http://schemas.microsoft.com/office/drawing/2014/main" id="{00000000-0008-0000-0400-000053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0</xdr:col>
      <xdr:colOff>0</xdr:colOff>
      <xdr:row>83</xdr:row>
      <xdr:rowOff>0</xdr:rowOff>
    </xdr:from>
    <xdr:ext cx="381000" cy="381000"/>
    <xdr:pic>
      <xdr:nvPicPr>
        <xdr:cNvPr id="84" name="image105.jpg">
          <a:extLst>
            <a:ext uri="{FF2B5EF4-FFF2-40B4-BE49-F238E27FC236}">
              <a16:creationId xmlns:a16="http://schemas.microsoft.com/office/drawing/2014/main" id="{00000000-0008-0000-0400-000054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0</xdr:col>
      <xdr:colOff>0</xdr:colOff>
      <xdr:row>84</xdr:row>
      <xdr:rowOff>0</xdr:rowOff>
    </xdr:from>
    <xdr:ext cx="381000" cy="381000"/>
    <xdr:pic>
      <xdr:nvPicPr>
        <xdr:cNvPr id="85" name="image110.jpg">
          <a:extLst>
            <a:ext uri="{FF2B5EF4-FFF2-40B4-BE49-F238E27FC236}">
              <a16:creationId xmlns:a16="http://schemas.microsoft.com/office/drawing/2014/main" id="{00000000-0008-0000-0400-000055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0</xdr:col>
      <xdr:colOff>0</xdr:colOff>
      <xdr:row>85</xdr:row>
      <xdr:rowOff>0</xdr:rowOff>
    </xdr:from>
    <xdr:ext cx="381000" cy="381000"/>
    <xdr:pic>
      <xdr:nvPicPr>
        <xdr:cNvPr id="86" name="image98.jpg">
          <a:extLst>
            <a:ext uri="{FF2B5EF4-FFF2-40B4-BE49-F238E27FC236}">
              <a16:creationId xmlns:a16="http://schemas.microsoft.com/office/drawing/2014/main" id="{00000000-0008-0000-0400-000056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0</xdr:col>
      <xdr:colOff>0</xdr:colOff>
      <xdr:row>86</xdr:row>
      <xdr:rowOff>0</xdr:rowOff>
    </xdr:from>
    <xdr:ext cx="381000" cy="381000"/>
    <xdr:pic>
      <xdr:nvPicPr>
        <xdr:cNvPr id="87" name="image100.jpg">
          <a:extLst>
            <a:ext uri="{FF2B5EF4-FFF2-40B4-BE49-F238E27FC236}">
              <a16:creationId xmlns:a16="http://schemas.microsoft.com/office/drawing/2014/main" id="{00000000-0008-0000-0400-000057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0</xdr:col>
      <xdr:colOff>0</xdr:colOff>
      <xdr:row>87</xdr:row>
      <xdr:rowOff>0</xdr:rowOff>
    </xdr:from>
    <xdr:ext cx="381000" cy="381000"/>
    <xdr:pic>
      <xdr:nvPicPr>
        <xdr:cNvPr id="88" name="image100.jpg">
          <a:extLst>
            <a:ext uri="{FF2B5EF4-FFF2-40B4-BE49-F238E27FC236}">
              <a16:creationId xmlns:a16="http://schemas.microsoft.com/office/drawing/2014/main" id="{00000000-0008-0000-0400-000058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0</xdr:col>
      <xdr:colOff>0</xdr:colOff>
      <xdr:row>88</xdr:row>
      <xdr:rowOff>0</xdr:rowOff>
    </xdr:from>
    <xdr:ext cx="381000" cy="381000"/>
    <xdr:pic>
      <xdr:nvPicPr>
        <xdr:cNvPr id="89" name="image104.jpg">
          <a:extLst>
            <a:ext uri="{FF2B5EF4-FFF2-40B4-BE49-F238E27FC236}">
              <a16:creationId xmlns:a16="http://schemas.microsoft.com/office/drawing/2014/main" id="{00000000-0008-0000-0400-000059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0</xdr:col>
      <xdr:colOff>0</xdr:colOff>
      <xdr:row>89</xdr:row>
      <xdr:rowOff>0</xdr:rowOff>
    </xdr:from>
    <xdr:ext cx="381000" cy="381000"/>
    <xdr:pic>
      <xdr:nvPicPr>
        <xdr:cNvPr id="90" name="image111.jpg">
          <a:extLst>
            <a:ext uri="{FF2B5EF4-FFF2-40B4-BE49-F238E27FC236}">
              <a16:creationId xmlns:a16="http://schemas.microsoft.com/office/drawing/2014/main" id="{00000000-0008-0000-0400-00005A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0</xdr:col>
      <xdr:colOff>0</xdr:colOff>
      <xdr:row>90</xdr:row>
      <xdr:rowOff>0</xdr:rowOff>
    </xdr:from>
    <xdr:ext cx="381000" cy="381000"/>
    <xdr:pic>
      <xdr:nvPicPr>
        <xdr:cNvPr id="91" name="image112.jpg">
          <a:extLst>
            <a:ext uri="{FF2B5EF4-FFF2-40B4-BE49-F238E27FC236}">
              <a16:creationId xmlns:a16="http://schemas.microsoft.com/office/drawing/2014/main" id="{00000000-0008-0000-0400-00005B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0</xdr:col>
      <xdr:colOff>0</xdr:colOff>
      <xdr:row>91</xdr:row>
      <xdr:rowOff>0</xdr:rowOff>
    </xdr:from>
    <xdr:ext cx="381000" cy="381000"/>
    <xdr:pic>
      <xdr:nvPicPr>
        <xdr:cNvPr id="92" name="image113.jpg">
          <a:extLst>
            <a:ext uri="{FF2B5EF4-FFF2-40B4-BE49-F238E27FC236}">
              <a16:creationId xmlns:a16="http://schemas.microsoft.com/office/drawing/2014/main" id="{00000000-0008-0000-0400-00005C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0</xdr:col>
      <xdr:colOff>0</xdr:colOff>
      <xdr:row>92</xdr:row>
      <xdr:rowOff>0</xdr:rowOff>
    </xdr:from>
    <xdr:ext cx="381000" cy="381000"/>
    <xdr:pic>
      <xdr:nvPicPr>
        <xdr:cNvPr id="93" name="image14.jpg">
          <a:extLst>
            <a:ext uri="{FF2B5EF4-FFF2-40B4-BE49-F238E27FC236}">
              <a16:creationId xmlns:a16="http://schemas.microsoft.com/office/drawing/2014/main" id="{00000000-0008-0000-0400-00005D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0</xdr:col>
      <xdr:colOff>0</xdr:colOff>
      <xdr:row>93</xdr:row>
      <xdr:rowOff>0</xdr:rowOff>
    </xdr:from>
    <xdr:ext cx="381000" cy="381000"/>
    <xdr:pic>
      <xdr:nvPicPr>
        <xdr:cNvPr id="94" name="image99.jpg">
          <a:extLst>
            <a:ext uri="{FF2B5EF4-FFF2-40B4-BE49-F238E27FC236}">
              <a16:creationId xmlns:a16="http://schemas.microsoft.com/office/drawing/2014/main" id="{00000000-0008-0000-0400-00005E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0</xdr:col>
      <xdr:colOff>0</xdr:colOff>
      <xdr:row>94</xdr:row>
      <xdr:rowOff>0</xdr:rowOff>
    </xdr:from>
    <xdr:ext cx="381000" cy="381000"/>
    <xdr:pic>
      <xdr:nvPicPr>
        <xdr:cNvPr id="95" name="image107.jpg">
          <a:extLst>
            <a:ext uri="{FF2B5EF4-FFF2-40B4-BE49-F238E27FC236}">
              <a16:creationId xmlns:a16="http://schemas.microsoft.com/office/drawing/2014/main" id="{00000000-0008-0000-0400-00005F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0</xdr:col>
      <xdr:colOff>0</xdr:colOff>
      <xdr:row>95</xdr:row>
      <xdr:rowOff>0</xdr:rowOff>
    </xdr:from>
    <xdr:ext cx="381000" cy="381000"/>
    <xdr:pic>
      <xdr:nvPicPr>
        <xdr:cNvPr id="96" name="image102.jpg">
          <a:extLst>
            <a:ext uri="{FF2B5EF4-FFF2-40B4-BE49-F238E27FC236}">
              <a16:creationId xmlns:a16="http://schemas.microsoft.com/office/drawing/2014/main" id="{00000000-0008-0000-0400-000060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0</xdr:col>
      <xdr:colOff>0</xdr:colOff>
      <xdr:row>96</xdr:row>
      <xdr:rowOff>0</xdr:rowOff>
    </xdr:from>
    <xdr:ext cx="381000" cy="381000"/>
    <xdr:pic>
      <xdr:nvPicPr>
        <xdr:cNvPr id="97" name="image102.jpg">
          <a:extLst>
            <a:ext uri="{FF2B5EF4-FFF2-40B4-BE49-F238E27FC236}">
              <a16:creationId xmlns:a16="http://schemas.microsoft.com/office/drawing/2014/main" id="{00000000-0008-0000-0400-000061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0</xdr:col>
      <xdr:colOff>0</xdr:colOff>
      <xdr:row>97</xdr:row>
      <xdr:rowOff>0</xdr:rowOff>
    </xdr:from>
    <xdr:ext cx="381000" cy="381000"/>
    <xdr:pic>
      <xdr:nvPicPr>
        <xdr:cNvPr id="98" name="image117.jpg">
          <a:extLst>
            <a:ext uri="{FF2B5EF4-FFF2-40B4-BE49-F238E27FC236}">
              <a16:creationId xmlns:a16="http://schemas.microsoft.com/office/drawing/2014/main" id="{00000000-0008-0000-0400-000062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0</xdr:col>
      <xdr:colOff>0</xdr:colOff>
      <xdr:row>98</xdr:row>
      <xdr:rowOff>0</xdr:rowOff>
    </xdr:from>
    <xdr:ext cx="381000" cy="381000"/>
    <xdr:pic>
      <xdr:nvPicPr>
        <xdr:cNvPr id="99" name="image117.jpg">
          <a:extLst>
            <a:ext uri="{FF2B5EF4-FFF2-40B4-BE49-F238E27FC236}">
              <a16:creationId xmlns:a16="http://schemas.microsoft.com/office/drawing/2014/main" id="{00000000-0008-0000-0400-000063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0</xdr:col>
      <xdr:colOff>0</xdr:colOff>
      <xdr:row>99</xdr:row>
      <xdr:rowOff>0</xdr:rowOff>
    </xdr:from>
    <xdr:ext cx="381000" cy="381000"/>
    <xdr:pic>
      <xdr:nvPicPr>
        <xdr:cNvPr id="100" name="image106.jpg">
          <a:extLst>
            <a:ext uri="{FF2B5EF4-FFF2-40B4-BE49-F238E27FC236}">
              <a16:creationId xmlns:a16="http://schemas.microsoft.com/office/drawing/2014/main" id="{00000000-0008-0000-0400-000064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0</xdr:col>
      <xdr:colOff>0</xdr:colOff>
      <xdr:row>100</xdr:row>
      <xdr:rowOff>0</xdr:rowOff>
    </xdr:from>
    <xdr:ext cx="381000" cy="381000"/>
    <xdr:pic>
      <xdr:nvPicPr>
        <xdr:cNvPr id="101" name="image106.jpg">
          <a:extLst>
            <a:ext uri="{FF2B5EF4-FFF2-40B4-BE49-F238E27FC236}">
              <a16:creationId xmlns:a16="http://schemas.microsoft.com/office/drawing/2014/main" id="{00000000-0008-0000-0400-000065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0</xdr:col>
      <xdr:colOff>0</xdr:colOff>
      <xdr:row>101</xdr:row>
      <xdr:rowOff>0</xdr:rowOff>
    </xdr:from>
    <xdr:ext cx="381000" cy="381000"/>
    <xdr:pic>
      <xdr:nvPicPr>
        <xdr:cNvPr id="102" name="image120.jpg">
          <a:extLst>
            <a:ext uri="{FF2B5EF4-FFF2-40B4-BE49-F238E27FC236}">
              <a16:creationId xmlns:a16="http://schemas.microsoft.com/office/drawing/2014/main" id="{00000000-0008-0000-0400-000066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0</xdr:col>
      <xdr:colOff>0</xdr:colOff>
      <xdr:row>102</xdr:row>
      <xdr:rowOff>0</xdr:rowOff>
    </xdr:from>
    <xdr:ext cx="381000" cy="381000"/>
    <xdr:pic>
      <xdr:nvPicPr>
        <xdr:cNvPr id="103" name="image120.jpg">
          <a:extLst>
            <a:ext uri="{FF2B5EF4-FFF2-40B4-BE49-F238E27FC236}">
              <a16:creationId xmlns:a16="http://schemas.microsoft.com/office/drawing/2014/main" id="{00000000-0008-0000-0400-000067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0</xdr:col>
      <xdr:colOff>0</xdr:colOff>
      <xdr:row>103</xdr:row>
      <xdr:rowOff>0</xdr:rowOff>
    </xdr:from>
    <xdr:ext cx="381000" cy="381000"/>
    <xdr:pic>
      <xdr:nvPicPr>
        <xdr:cNvPr id="104" name="image120.jpg">
          <a:extLst>
            <a:ext uri="{FF2B5EF4-FFF2-40B4-BE49-F238E27FC236}">
              <a16:creationId xmlns:a16="http://schemas.microsoft.com/office/drawing/2014/main" id="{00000000-0008-0000-0400-000068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0</xdr:col>
      <xdr:colOff>0</xdr:colOff>
      <xdr:row>104</xdr:row>
      <xdr:rowOff>0</xdr:rowOff>
    </xdr:from>
    <xdr:ext cx="381000" cy="381000"/>
    <xdr:pic>
      <xdr:nvPicPr>
        <xdr:cNvPr id="105" name="image116.jpg">
          <a:extLst>
            <a:ext uri="{FF2B5EF4-FFF2-40B4-BE49-F238E27FC236}">
              <a16:creationId xmlns:a16="http://schemas.microsoft.com/office/drawing/2014/main" id="{00000000-0008-0000-0400-000069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0</xdr:col>
      <xdr:colOff>0</xdr:colOff>
      <xdr:row>105</xdr:row>
      <xdr:rowOff>0</xdr:rowOff>
    </xdr:from>
    <xdr:ext cx="381000" cy="381000"/>
    <xdr:pic>
      <xdr:nvPicPr>
        <xdr:cNvPr id="106" name="image114.jpg">
          <a:extLst>
            <a:ext uri="{FF2B5EF4-FFF2-40B4-BE49-F238E27FC236}">
              <a16:creationId xmlns:a16="http://schemas.microsoft.com/office/drawing/2014/main" id="{00000000-0008-0000-0400-00006A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0</xdr:col>
      <xdr:colOff>0</xdr:colOff>
      <xdr:row>106</xdr:row>
      <xdr:rowOff>0</xdr:rowOff>
    </xdr:from>
    <xdr:ext cx="381000" cy="381000"/>
    <xdr:pic>
      <xdr:nvPicPr>
        <xdr:cNvPr id="107" name="image115.jpg">
          <a:extLst>
            <a:ext uri="{FF2B5EF4-FFF2-40B4-BE49-F238E27FC236}">
              <a16:creationId xmlns:a16="http://schemas.microsoft.com/office/drawing/2014/main" id="{00000000-0008-0000-0400-00006B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0</xdr:col>
      <xdr:colOff>0</xdr:colOff>
      <xdr:row>107</xdr:row>
      <xdr:rowOff>0</xdr:rowOff>
    </xdr:from>
    <xdr:ext cx="381000" cy="381000"/>
    <xdr:pic>
      <xdr:nvPicPr>
        <xdr:cNvPr id="108" name="image115.jpg">
          <a:extLst>
            <a:ext uri="{FF2B5EF4-FFF2-40B4-BE49-F238E27FC236}">
              <a16:creationId xmlns:a16="http://schemas.microsoft.com/office/drawing/2014/main" id="{00000000-0008-0000-0400-00006C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0</xdr:col>
      <xdr:colOff>0</xdr:colOff>
      <xdr:row>108</xdr:row>
      <xdr:rowOff>0</xdr:rowOff>
    </xdr:from>
    <xdr:ext cx="381000" cy="381000"/>
    <xdr:pic>
      <xdr:nvPicPr>
        <xdr:cNvPr id="109" name="image115.jpg">
          <a:extLst>
            <a:ext uri="{FF2B5EF4-FFF2-40B4-BE49-F238E27FC236}">
              <a16:creationId xmlns:a16="http://schemas.microsoft.com/office/drawing/2014/main" id="{00000000-0008-0000-0400-00006D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0</xdr:col>
      <xdr:colOff>0</xdr:colOff>
      <xdr:row>109</xdr:row>
      <xdr:rowOff>0</xdr:rowOff>
    </xdr:from>
    <xdr:ext cx="381000" cy="381000"/>
    <xdr:pic>
      <xdr:nvPicPr>
        <xdr:cNvPr id="110" name="image115.jpg">
          <a:extLst>
            <a:ext uri="{FF2B5EF4-FFF2-40B4-BE49-F238E27FC236}">
              <a16:creationId xmlns:a16="http://schemas.microsoft.com/office/drawing/2014/main" id="{00000000-0008-0000-0400-00006E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0</xdr:col>
      <xdr:colOff>0</xdr:colOff>
      <xdr:row>110</xdr:row>
      <xdr:rowOff>0</xdr:rowOff>
    </xdr:from>
    <xdr:ext cx="381000" cy="381000"/>
    <xdr:pic>
      <xdr:nvPicPr>
        <xdr:cNvPr id="111" name="image121.jpg">
          <a:extLst>
            <a:ext uri="{FF2B5EF4-FFF2-40B4-BE49-F238E27FC236}">
              <a16:creationId xmlns:a16="http://schemas.microsoft.com/office/drawing/2014/main" id="{00000000-0008-0000-0400-00006F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0</xdr:col>
      <xdr:colOff>0</xdr:colOff>
      <xdr:row>111</xdr:row>
      <xdr:rowOff>0</xdr:rowOff>
    </xdr:from>
    <xdr:ext cx="381000" cy="381000"/>
    <xdr:pic>
      <xdr:nvPicPr>
        <xdr:cNvPr id="112" name="image121.jpg">
          <a:extLst>
            <a:ext uri="{FF2B5EF4-FFF2-40B4-BE49-F238E27FC236}">
              <a16:creationId xmlns:a16="http://schemas.microsoft.com/office/drawing/2014/main" id="{00000000-0008-0000-0400-000070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0</xdr:col>
      <xdr:colOff>0</xdr:colOff>
      <xdr:row>112</xdr:row>
      <xdr:rowOff>0</xdr:rowOff>
    </xdr:from>
    <xdr:ext cx="381000" cy="381000"/>
    <xdr:pic>
      <xdr:nvPicPr>
        <xdr:cNvPr id="113" name="image121.jpg">
          <a:extLst>
            <a:ext uri="{FF2B5EF4-FFF2-40B4-BE49-F238E27FC236}">
              <a16:creationId xmlns:a16="http://schemas.microsoft.com/office/drawing/2014/main" id="{00000000-0008-0000-0400-000071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0</xdr:col>
      <xdr:colOff>0</xdr:colOff>
      <xdr:row>113</xdr:row>
      <xdr:rowOff>0</xdr:rowOff>
    </xdr:from>
    <xdr:ext cx="381000" cy="381000"/>
    <xdr:pic>
      <xdr:nvPicPr>
        <xdr:cNvPr id="114" name="image133.jpg">
          <a:extLst>
            <a:ext uri="{FF2B5EF4-FFF2-40B4-BE49-F238E27FC236}">
              <a16:creationId xmlns:a16="http://schemas.microsoft.com/office/drawing/2014/main" id="{00000000-0008-0000-0400-000072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0</xdr:col>
      <xdr:colOff>0</xdr:colOff>
      <xdr:row>114</xdr:row>
      <xdr:rowOff>0</xdr:rowOff>
    </xdr:from>
    <xdr:ext cx="381000" cy="381000"/>
    <xdr:pic>
      <xdr:nvPicPr>
        <xdr:cNvPr id="115" name="image133.jpg">
          <a:extLst>
            <a:ext uri="{FF2B5EF4-FFF2-40B4-BE49-F238E27FC236}">
              <a16:creationId xmlns:a16="http://schemas.microsoft.com/office/drawing/2014/main" id="{00000000-0008-0000-0400-000073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0</xdr:col>
      <xdr:colOff>0</xdr:colOff>
      <xdr:row>115</xdr:row>
      <xdr:rowOff>0</xdr:rowOff>
    </xdr:from>
    <xdr:ext cx="381000" cy="381000"/>
    <xdr:pic>
      <xdr:nvPicPr>
        <xdr:cNvPr id="116" name="image122.jpg">
          <a:extLst>
            <a:ext uri="{FF2B5EF4-FFF2-40B4-BE49-F238E27FC236}">
              <a16:creationId xmlns:a16="http://schemas.microsoft.com/office/drawing/2014/main" id="{00000000-0008-0000-0400-000074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0</xdr:col>
      <xdr:colOff>0</xdr:colOff>
      <xdr:row>116</xdr:row>
      <xdr:rowOff>0</xdr:rowOff>
    </xdr:from>
    <xdr:ext cx="381000" cy="381000"/>
    <xdr:pic>
      <xdr:nvPicPr>
        <xdr:cNvPr id="117" name="image127.jpg">
          <a:extLst>
            <a:ext uri="{FF2B5EF4-FFF2-40B4-BE49-F238E27FC236}">
              <a16:creationId xmlns:a16="http://schemas.microsoft.com/office/drawing/2014/main" id="{00000000-0008-0000-0400-000075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0</xdr:col>
      <xdr:colOff>0</xdr:colOff>
      <xdr:row>117</xdr:row>
      <xdr:rowOff>0</xdr:rowOff>
    </xdr:from>
    <xdr:ext cx="381000" cy="381000"/>
    <xdr:pic>
      <xdr:nvPicPr>
        <xdr:cNvPr id="118" name="image127.jpg">
          <a:extLst>
            <a:ext uri="{FF2B5EF4-FFF2-40B4-BE49-F238E27FC236}">
              <a16:creationId xmlns:a16="http://schemas.microsoft.com/office/drawing/2014/main" id="{00000000-0008-0000-0400-000076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0</xdr:col>
      <xdr:colOff>0</xdr:colOff>
      <xdr:row>118</xdr:row>
      <xdr:rowOff>0</xdr:rowOff>
    </xdr:from>
    <xdr:ext cx="381000" cy="381000"/>
    <xdr:pic>
      <xdr:nvPicPr>
        <xdr:cNvPr id="119" name="image123.jpg">
          <a:extLst>
            <a:ext uri="{FF2B5EF4-FFF2-40B4-BE49-F238E27FC236}">
              <a16:creationId xmlns:a16="http://schemas.microsoft.com/office/drawing/2014/main" id="{00000000-0008-0000-0400-000077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0</xdr:col>
      <xdr:colOff>0</xdr:colOff>
      <xdr:row>119</xdr:row>
      <xdr:rowOff>0</xdr:rowOff>
    </xdr:from>
    <xdr:ext cx="381000" cy="381000"/>
    <xdr:pic>
      <xdr:nvPicPr>
        <xdr:cNvPr id="120" name="image124.jpg">
          <a:extLst>
            <a:ext uri="{FF2B5EF4-FFF2-40B4-BE49-F238E27FC236}">
              <a16:creationId xmlns:a16="http://schemas.microsoft.com/office/drawing/2014/main" id="{00000000-0008-0000-0400-000078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oneCellAnchor>
    <xdr:from>
      <xdr:col>0</xdr:col>
      <xdr:colOff>0</xdr:colOff>
      <xdr:row>120</xdr:row>
      <xdr:rowOff>0</xdr:rowOff>
    </xdr:from>
    <xdr:ext cx="381000" cy="381000"/>
    <xdr:pic>
      <xdr:nvPicPr>
        <xdr:cNvPr id="121" name="image124.jpg">
          <a:extLst>
            <a:ext uri="{FF2B5EF4-FFF2-40B4-BE49-F238E27FC236}">
              <a16:creationId xmlns:a16="http://schemas.microsoft.com/office/drawing/2014/main" id="{00000000-0008-0000-0400-000079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1</xdr:row>
      <xdr:rowOff>0</xdr:rowOff>
    </xdr:from>
    <xdr:ext cx="381000" cy="381000"/>
    <xdr:pic>
      <xdr:nvPicPr>
        <xdr:cNvPr id="2" name="image118.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0</xdr:colOff>
      <xdr:row>2</xdr:row>
      <xdr:rowOff>0</xdr:rowOff>
    </xdr:from>
    <xdr:ext cx="381000" cy="381000"/>
    <xdr:pic>
      <xdr:nvPicPr>
        <xdr:cNvPr id="3" name="image119.png">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3</xdr:row>
      <xdr:rowOff>0</xdr:rowOff>
    </xdr:from>
    <xdr:ext cx="381000" cy="381000"/>
    <xdr:pic>
      <xdr:nvPicPr>
        <xdr:cNvPr id="4" name="image119.png">
          <a:extLst>
            <a:ext uri="{FF2B5EF4-FFF2-40B4-BE49-F238E27FC236}">
              <a16:creationId xmlns:a16="http://schemas.microsoft.com/office/drawing/2014/main" id="{00000000-0008-0000-05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4</xdr:row>
      <xdr:rowOff>0</xdr:rowOff>
    </xdr:from>
    <xdr:ext cx="371475" cy="381000"/>
    <xdr:pic>
      <xdr:nvPicPr>
        <xdr:cNvPr id="5" name="image125.png">
          <a:extLst>
            <a:ext uri="{FF2B5EF4-FFF2-40B4-BE49-F238E27FC236}">
              <a16:creationId xmlns:a16="http://schemas.microsoft.com/office/drawing/2014/main" id="{00000000-0008-0000-0500-00000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5</xdr:row>
      <xdr:rowOff>0</xdr:rowOff>
    </xdr:from>
    <xdr:ext cx="371475" cy="381000"/>
    <xdr:pic>
      <xdr:nvPicPr>
        <xdr:cNvPr id="6" name="image125.png">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0</xdr:colOff>
      <xdr:row>6</xdr:row>
      <xdr:rowOff>0</xdr:rowOff>
    </xdr:from>
    <xdr:ext cx="381000" cy="381000"/>
    <xdr:pic>
      <xdr:nvPicPr>
        <xdr:cNvPr id="7" name="image129.png">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0</xdr:col>
      <xdr:colOff>0</xdr:colOff>
      <xdr:row>7</xdr:row>
      <xdr:rowOff>0</xdr:rowOff>
    </xdr:from>
    <xdr:ext cx="381000" cy="381000"/>
    <xdr:pic>
      <xdr:nvPicPr>
        <xdr:cNvPr id="8" name="image128.png">
          <a:extLst>
            <a:ext uri="{FF2B5EF4-FFF2-40B4-BE49-F238E27FC236}">
              <a16:creationId xmlns:a16="http://schemas.microsoft.com/office/drawing/2014/main" id="{00000000-0008-0000-0500-00000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0</xdr:col>
      <xdr:colOff>0</xdr:colOff>
      <xdr:row>8</xdr:row>
      <xdr:rowOff>0</xdr:rowOff>
    </xdr:from>
    <xdr:ext cx="381000" cy="381000"/>
    <xdr:pic>
      <xdr:nvPicPr>
        <xdr:cNvPr id="9" name="image132.png">
          <a:extLst>
            <a:ext uri="{FF2B5EF4-FFF2-40B4-BE49-F238E27FC236}">
              <a16:creationId xmlns:a16="http://schemas.microsoft.com/office/drawing/2014/main" id="{00000000-0008-0000-0500-000009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0</xdr:col>
      <xdr:colOff>0</xdr:colOff>
      <xdr:row>9</xdr:row>
      <xdr:rowOff>0</xdr:rowOff>
    </xdr:from>
    <xdr:ext cx="381000" cy="381000"/>
    <xdr:pic>
      <xdr:nvPicPr>
        <xdr:cNvPr id="10" name="image132.png">
          <a:extLst>
            <a:ext uri="{FF2B5EF4-FFF2-40B4-BE49-F238E27FC236}">
              <a16:creationId xmlns:a16="http://schemas.microsoft.com/office/drawing/2014/main" id="{00000000-0008-0000-0500-00000A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0</xdr:col>
      <xdr:colOff>0</xdr:colOff>
      <xdr:row>10</xdr:row>
      <xdr:rowOff>0</xdr:rowOff>
    </xdr:from>
    <xdr:ext cx="381000" cy="381000"/>
    <xdr:pic>
      <xdr:nvPicPr>
        <xdr:cNvPr id="11" name="image126.png">
          <a:extLst>
            <a:ext uri="{FF2B5EF4-FFF2-40B4-BE49-F238E27FC236}">
              <a16:creationId xmlns:a16="http://schemas.microsoft.com/office/drawing/2014/main" id="{00000000-0008-0000-0500-00000B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0</xdr:colOff>
      <xdr:row>11</xdr:row>
      <xdr:rowOff>0</xdr:rowOff>
    </xdr:from>
    <xdr:ext cx="381000" cy="381000"/>
    <xdr:pic>
      <xdr:nvPicPr>
        <xdr:cNvPr id="12" name="image126.png">
          <a:extLst>
            <a:ext uri="{FF2B5EF4-FFF2-40B4-BE49-F238E27FC236}">
              <a16:creationId xmlns:a16="http://schemas.microsoft.com/office/drawing/2014/main" id="{00000000-0008-0000-0500-00000C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0</xdr:colOff>
      <xdr:row>12</xdr:row>
      <xdr:rowOff>0</xdr:rowOff>
    </xdr:from>
    <xdr:ext cx="381000" cy="381000"/>
    <xdr:pic>
      <xdr:nvPicPr>
        <xdr:cNvPr id="13" name="image130.png">
          <a:extLst>
            <a:ext uri="{FF2B5EF4-FFF2-40B4-BE49-F238E27FC236}">
              <a16:creationId xmlns:a16="http://schemas.microsoft.com/office/drawing/2014/main" id="{00000000-0008-0000-0500-00000D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0</xdr:colOff>
      <xdr:row>13</xdr:row>
      <xdr:rowOff>0</xdr:rowOff>
    </xdr:from>
    <xdr:ext cx="381000" cy="381000"/>
    <xdr:pic>
      <xdr:nvPicPr>
        <xdr:cNvPr id="14" name="image130.png">
          <a:extLst>
            <a:ext uri="{FF2B5EF4-FFF2-40B4-BE49-F238E27FC236}">
              <a16:creationId xmlns:a16="http://schemas.microsoft.com/office/drawing/2014/main" id="{00000000-0008-0000-0500-00000E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0</xdr:colOff>
      <xdr:row>14</xdr:row>
      <xdr:rowOff>0</xdr:rowOff>
    </xdr:from>
    <xdr:ext cx="381000" cy="381000"/>
    <xdr:pic>
      <xdr:nvPicPr>
        <xdr:cNvPr id="15" name="image143.png">
          <a:extLst>
            <a:ext uri="{FF2B5EF4-FFF2-40B4-BE49-F238E27FC236}">
              <a16:creationId xmlns:a16="http://schemas.microsoft.com/office/drawing/2014/main" id="{00000000-0008-0000-0500-00000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0</xdr:colOff>
      <xdr:row>15</xdr:row>
      <xdr:rowOff>0</xdr:rowOff>
    </xdr:from>
    <xdr:ext cx="381000" cy="381000"/>
    <xdr:pic>
      <xdr:nvPicPr>
        <xdr:cNvPr id="16" name="image143.png">
          <a:extLst>
            <a:ext uri="{FF2B5EF4-FFF2-40B4-BE49-F238E27FC236}">
              <a16:creationId xmlns:a16="http://schemas.microsoft.com/office/drawing/2014/main" id="{00000000-0008-0000-0500-000010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0</xdr:colOff>
      <xdr:row>16</xdr:row>
      <xdr:rowOff>0</xdr:rowOff>
    </xdr:from>
    <xdr:ext cx="381000" cy="381000"/>
    <xdr:pic>
      <xdr:nvPicPr>
        <xdr:cNvPr id="17" name="image143.png">
          <a:extLst>
            <a:ext uri="{FF2B5EF4-FFF2-40B4-BE49-F238E27FC236}">
              <a16:creationId xmlns:a16="http://schemas.microsoft.com/office/drawing/2014/main" id="{00000000-0008-0000-0500-000011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0</xdr:colOff>
      <xdr:row>17</xdr:row>
      <xdr:rowOff>0</xdr:rowOff>
    </xdr:from>
    <xdr:ext cx="381000" cy="381000"/>
    <xdr:pic>
      <xdr:nvPicPr>
        <xdr:cNvPr id="18" name="image135.png">
          <a:extLst>
            <a:ext uri="{FF2B5EF4-FFF2-40B4-BE49-F238E27FC236}">
              <a16:creationId xmlns:a16="http://schemas.microsoft.com/office/drawing/2014/main" id="{00000000-0008-0000-0500-000012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0</xdr:colOff>
      <xdr:row>18</xdr:row>
      <xdr:rowOff>0</xdr:rowOff>
    </xdr:from>
    <xdr:ext cx="381000" cy="381000"/>
    <xdr:pic>
      <xdr:nvPicPr>
        <xdr:cNvPr id="19" name="image135.png">
          <a:extLst>
            <a:ext uri="{FF2B5EF4-FFF2-40B4-BE49-F238E27FC236}">
              <a16:creationId xmlns:a16="http://schemas.microsoft.com/office/drawing/2014/main" id="{00000000-0008-0000-0500-000013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0</xdr:colOff>
      <xdr:row>19</xdr:row>
      <xdr:rowOff>0</xdr:rowOff>
    </xdr:from>
    <xdr:ext cx="381000" cy="381000"/>
    <xdr:pic>
      <xdr:nvPicPr>
        <xdr:cNvPr id="20" name="image131.png">
          <a:extLst>
            <a:ext uri="{FF2B5EF4-FFF2-40B4-BE49-F238E27FC236}">
              <a16:creationId xmlns:a16="http://schemas.microsoft.com/office/drawing/2014/main" id="{00000000-0008-0000-0500-000014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0</xdr:col>
      <xdr:colOff>0</xdr:colOff>
      <xdr:row>20</xdr:row>
      <xdr:rowOff>0</xdr:rowOff>
    </xdr:from>
    <xdr:ext cx="381000" cy="381000"/>
    <xdr:pic>
      <xdr:nvPicPr>
        <xdr:cNvPr id="21" name="image136.png">
          <a:extLst>
            <a:ext uri="{FF2B5EF4-FFF2-40B4-BE49-F238E27FC236}">
              <a16:creationId xmlns:a16="http://schemas.microsoft.com/office/drawing/2014/main" id="{00000000-0008-0000-0500-000015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0</xdr:col>
      <xdr:colOff>0</xdr:colOff>
      <xdr:row>21</xdr:row>
      <xdr:rowOff>0</xdr:rowOff>
    </xdr:from>
    <xdr:ext cx="381000" cy="381000"/>
    <xdr:pic>
      <xdr:nvPicPr>
        <xdr:cNvPr id="22" name="image138.png">
          <a:extLst>
            <a:ext uri="{FF2B5EF4-FFF2-40B4-BE49-F238E27FC236}">
              <a16:creationId xmlns:a16="http://schemas.microsoft.com/office/drawing/2014/main" id="{00000000-0008-0000-0500-000016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0</xdr:col>
      <xdr:colOff>0</xdr:colOff>
      <xdr:row>22</xdr:row>
      <xdr:rowOff>0</xdr:rowOff>
    </xdr:from>
    <xdr:ext cx="371475" cy="381000"/>
    <xdr:pic>
      <xdr:nvPicPr>
        <xdr:cNvPr id="23" name="image137.png">
          <a:extLst>
            <a:ext uri="{FF2B5EF4-FFF2-40B4-BE49-F238E27FC236}">
              <a16:creationId xmlns:a16="http://schemas.microsoft.com/office/drawing/2014/main" id="{00000000-0008-0000-0500-000017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0</xdr:col>
      <xdr:colOff>0</xdr:colOff>
      <xdr:row>23</xdr:row>
      <xdr:rowOff>0</xdr:rowOff>
    </xdr:from>
    <xdr:ext cx="371475" cy="381000"/>
    <xdr:pic>
      <xdr:nvPicPr>
        <xdr:cNvPr id="24" name="image137.png">
          <a:extLst>
            <a:ext uri="{FF2B5EF4-FFF2-40B4-BE49-F238E27FC236}">
              <a16:creationId xmlns:a16="http://schemas.microsoft.com/office/drawing/2014/main" id="{00000000-0008-0000-0500-000018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0</xdr:col>
      <xdr:colOff>0</xdr:colOff>
      <xdr:row>24</xdr:row>
      <xdr:rowOff>0</xdr:rowOff>
    </xdr:from>
    <xdr:ext cx="381000" cy="381000"/>
    <xdr:pic>
      <xdr:nvPicPr>
        <xdr:cNvPr id="25" name="image144.png">
          <a:extLst>
            <a:ext uri="{FF2B5EF4-FFF2-40B4-BE49-F238E27FC236}">
              <a16:creationId xmlns:a16="http://schemas.microsoft.com/office/drawing/2014/main" id="{00000000-0008-0000-0500-000019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0</xdr:col>
      <xdr:colOff>0</xdr:colOff>
      <xdr:row>25</xdr:row>
      <xdr:rowOff>0</xdr:rowOff>
    </xdr:from>
    <xdr:ext cx="381000" cy="381000"/>
    <xdr:pic>
      <xdr:nvPicPr>
        <xdr:cNvPr id="26" name="image148.png">
          <a:extLst>
            <a:ext uri="{FF2B5EF4-FFF2-40B4-BE49-F238E27FC236}">
              <a16:creationId xmlns:a16="http://schemas.microsoft.com/office/drawing/2014/main" id="{00000000-0008-0000-0500-00001A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0</xdr:col>
      <xdr:colOff>0</xdr:colOff>
      <xdr:row>26</xdr:row>
      <xdr:rowOff>0</xdr:rowOff>
    </xdr:from>
    <xdr:ext cx="381000" cy="381000"/>
    <xdr:pic>
      <xdr:nvPicPr>
        <xdr:cNvPr id="27" name="image145.png">
          <a:extLst>
            <a:ext uri="{FF2B5EF4-FFF2-40B4-BE49-F238E27FC236}">
              <a16:creationId xmlns:a16="http://schemas.microsoft.com/office/drawing/2014/main" id="{00000000-0008-0000-0500-00001B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0</xdr:col>
      <xdr:colOff>0</xdr:colOff>
      <xdr:row>27</xdr:row>
      <xdr:rowOff>0</xdr:rowOff>
    </xdr:from>
    <xdr:ext cx="381000" cy="381000"/>
    <xdr:pic>
      <xdr:nvPicPr>
        <xdr:cNvPr id="28" name="image145.png">
          <a:extLst>
            <a:ext uri="{FF2B5EF4-FFF2-40B4-BE49-F238E27FC236}">
              <a16:creationId xmlns:a16="http://schemas.microsoft.com/office/drawing/2014/main" id="{00000000-0008-0000-0500-00001C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0</xdr:col>
      <xdr:colOff>0</xdr:colOff>
      <xdr:row>28</xdr:row>
      <xdr:rowOff>0</xdr:rowOff>
    </xdr:from>
    <xdr:ext cx="381000" cy="381000"/>
    <xdr:pic>
      <xdr:nvPicPr>
        <xdr:cNvPr id="29" name="image140.png">
          <a:extLst>
            <a:ext uri="{FF2B5EF4-FFF2-40B4-BE49-F238E27FC236}">
              <a16:creationId xmlns:a16="http://schemas.microsoft.com/office/drawing/2014/main" id="{00000000-0008-0000-0500-00001D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0</xdr:col>
      <xdr:colOff>0</xdr:colOff>
      <xdr:row>29</xdr:row>
      <xdr:rowOff>0</xdr:rowOff>
    </xdr:from>
    <xdr:ext cx="381000" cy="381000"/>
    <xdr:pic>
      <xdr:nvPicPr>
        <xdr:cNvPr id="30" name="image139.jpg">
          <a:extLst>
            <a:ext uri="{FF2B5EF4-FFF2-40B4-BE49-F238E27FC236}">
              <a16:creationId xmlns:a16="http://schemas.microsoft.com/office/drawing/2014/main" id="{00000000-0008-0000-0500-00001E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0</xdr:col>
      <xdr:colOff>0</xdr:colOff>
      <xdr:row>30</xdr:row>
      <xdr:rowOff>0</xdr:rowOff>
    </xdr:from>
    <xdr:ext cx="381000" cy="381000"/>
    <xdr:pic>
      <xdr:nvPicPr>
        <xdr:cNvPr id="31" name="image134.png">
          <a:extLst>
            <a:ext uri="{FF2B5EF4-FFF2-40B4-BE49-F238E27FC236}">
              <a16:creationId xmlns:a16="http://schemas.microsoft.com/office/drawing/2014/main" id="{00000000-0008-0000-0500-00001F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0</xdr:col>
      <xdr:colOff>0</xdr:colOff>
      <xdr:row>31</xdr:row>
      <xdr:rowOff>0</xdr:rowOff>
    </xdr:from>
    <xdr:ext cx="381000" cy="381000"/>
    <xdr:pic>
      <xdr:nvPicPr>
        <xdr:cNvPr id="32" name="image160.png">
          <a:extLst>
            <a:ext uri="{FF2B5EF4-FFF2-40B4-BE49-F238E27FC236}">
              <a16:creationId xmlns:a16="http://schemas.microsoft.com/office/drawing/2014/main" id="{00000000-0008-0000-0500-00002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0</xdr:col>
      <xdr:colOff>0</xdr:colOff>
      <xdr:row>32</xdr:row>
      <xdr:rowOff>0</xdr:rowOff>
    </xdr:from>
    <xdr:ext cx="381000" cy="381000"/>
    <xdr:pic>
      <xdr:nvPicPr>
        <xdr:cNvPr id="33" name="image141.png">
          <a:extLst>
            <a:ext uri="{FF2B5EF4-FFF2-40B4-BE49-F238E27FC236}">
              <a16:creationId xmlns:a16="http://schemas.microsoft.com/office/drawing/2014/main" id="{00000000-0008-0000-0500-000021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0</xdr:col>
      <xdr:colOff>0</xdr:colOff>
      <xdr:row>33</xdr:row>
      <xdr:rowOff>0</xdr:rowOff>
    </xdr:from>
    <xdr:ext cx="381000" cy="381000"/>
    <xdr:pic>
      <xdr:nvPicPr>
        <xdr:cNvPr id="34" name="image142.png">
          <a:extLst>
            <a:ext uri="{FF2B5EF4-FFF2-40B4-BE49-F238E27FC236}">
              <a16:creationId xmlns:a16="http://schemas.microsoft.com/office/drawing/2014/main" id="{00000000-0008-0000-0500-000022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0</xdr:col>
      <xdr:colOff>0</xdr:colOff>
      <xdr:row>34</xdr:row>
      <xdr:rowOff>0</xdr:rowOff>
    </xdr:from>
    <xdr:ext cx="381000" cy="381000"/>
    <xdr:pic>
      <xdr:nvPicPr>
        <xdr:cNvPr id="35" name="image159.png">
          <a:extLst>
            <a:ext uri="{FF2B5EF4-FFF2-40B4-BE49-F238E27FC236}">
              <a16:creationId xmlns:a16="http://schemas.microsoft.com/office/drawing/2014/main" id="{00000000-0008-0000-0500-000023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0</xdr:col>
      <xdr:colOff>0</xdr:colOff>
      <xdr:row>35</xdr:row>
      <xdr:rowOff>0</xdr:rowOff>
    </xdr:from>
    <xdr:ext cx="381000" cy="381000"/>
    <xdr:pic>
      <xdr:nvPicPr>
        <xdr:cNvPr id="36" name="image151.jpg">
          <a:extLst>
            <a:ext uri="{FF2B5EF4-FFF2-40B4-BE49-F238E27FC236}">
              <a16:creationId xmlns:a16="http://schemas.microsoft.com/office/drawing/2014/main" id="{00000000-0008-0000-0500-000024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0</xdr:col>
      <xdr:colOff>0</xdr:colOff>
      <xdr:row>36</xdr:row>
      <xdr:rowOff>0</xdr:rowOff>
    </xdr:from>
    <xdr:ext cx="381000" cy="381000"/>
    <xdr:pic>
      <xdr:nvPicPr>
        <xdr:cNvPr id="37" name="image146.png">
          <a:extLst>
            <a:ext uri="{FF2B5EF4-FFF2-40B4-BE49-F238E27FC236}">
              <a16:creationId xmlns:a16="http://schemas.microsoft.com/office/drawing/2014/main" id="{00000000-0008-0000-0500-000025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0</xdr:col>
      <xdr:colOff>0</xdr:colOff>
      <xdr:row>37</xdr:row>
      <xdr:rowOff>0</xdr:rowOff>
    </xdr:from>
    <xdr:ext cx="381000" cy="381000"/>
    <xdr:pic>
      <xdr:nvPicPr>
        <xdr:cNvPr id="38" name="image149.png">
          <a:extLst>
            <a:ext uri="{FF2B5EF4-FFF2-40B4-BE49-F238E27FC236}">
              <a16:creationId xmlns:a16="http://schemas.microsoft.com/office/drawing/2014/main" id="{00000000-0008-0000-0500-000026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0</xdr:col>
      <xdr:colOff>0</xdr:colOff>
      <xdr:row>38</xdr:row>
      <xdr:rowOff>0</xdr:rowOff>
    </xdr:from>
    <xdr:ext cx="381000" cy="381000"/>
    <xdr:pic>
      <xdr:nvPicPr>
        <xdr:cNvPr id="39" name="image155.png">
          <a:extLst>
            <a:ext uri="{FF2B5EF4-FFF2-40B4-BE49-F238E27FC236}">
              <a16:creationId xmlns:a16="http://schemas.microsoft.com/office/drawing/2014/main" id="{00000000-0008-0000-0500-000027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0</xdr:col>
      <xdr:colOff>0</xdr:colOff>
      <xdr:row>39</xdr:row>
      <xdr:rowOff>0</xdr:rowOff>
    </xdr:from>
    <xdr:ext cx="381000" cy="381000"/>
    <xdr:pic>
      <xdr:nvPicPr>
        <xdr:cNvPr id="40" name="image152.png">
          <a:extLst>
            <a:ext uri="{FF2B5EF4-FFF2-40B4-BE49-F238E27FC236}">
              <a16:creationId xmlns:a16="http://schemas.microsoft.com/office/drawing/2014/main" id="{00000000-0008-0000-0500-000028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0</xdr:col>
      <xdr:colOff>0</xdr:colOff>
      <xdr:row>40</xdr:row>
      <xdr:rowOff>0</xdr:rowOff>
    </xdr:from>
    <xdr:ext cx="381000" cy="381000"/>
    <xdr:pic>
      <xdr:nvPicPr>
        <xdr:cNvPr id="41" name="image152.png">
          <a:extLst>
            <a:ext uri="{FF2B5EF4-FFF2-40B4-BE49-F238E27FC236}">
              <a16:creationId xmlns:a16="http://schemas.microsoft.com/office/drawing/2014/main" id="{00000000-0008-0000-0500-000029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0</xdr:col>
      <xdr:colOff>0</xdr:colOff>
      <xdr:row>41</xdr:row>
      <xdr:rowOff>0</xdr:rowOff>
    </xdr:from>
    <xdr:ext cx="381000" cy="381000"/>
    <xdr:pic>
      <xdr:nvPicPr>
        <xdr:cNvPr id="42" name="image157.png">
          <a:extLst>
            <a:ext uri="{FF2B5EF4-FFF2-40B4-BE49-F238E27FC236}">
              <a16:creationId xmlns:a16="http://schemas.microsoft.com/office/drawing/2014/main" id="{00000000-0008-0000-0500-00002A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0</xdr:col>
      <xdr:colOff>0</xdr:colOff>
      <xdr:row>42</xdr:row>
      <xdr:rowOff>0</xdr:rowOff>
    </xdr:from>
    <xdr:ext cx="381000" cy="381000"/>
    <xdr:pic>
      <xdr:nvPicPr>
        <xdr:cNvPr id="43" name="image147.png">
          <a:extLst>
            <a:ext uri="{FF2B5EF4-FFF2-40B4-BE49-F238E27FC236}">
              <a16:creationId xmlns:a16="http://schemas.microsoft.com/office/drawing/2014/main" id="{00000000-0008-0000-0500-00002B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0</xdr:col>
      <xdr:colOff>0</xdr:colOff>
      <xdr:row>43</xdr:row>
      <xdr:rowOff>0</xdr:rowOff>
    </xdr:from>
    <xdr:ext cx="381000" cy="381000"/>
    <xdr:pic>
      <xdr:nvPicPr>
        <xdr:cNvPr id="44" name="image147.png">
          <a:extLst>
            <a:ext uri="{FF2B5EF4-FFF2-40B4-BE49-F238E27FC236}">
              <a16:creationId xmlns:a16="http://schemas.microsoft.com/office/drawing/2014/main" id="{00000000-0008-0000-0500-00002C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0</xdr:col>
      <xdr:colOff>0</xdr:colOff>
      <xdr:row>44</xdr:row>
      <xdr:rowOff>0</xdr:rowOff>
    </xdr:from>
    <xdr:ext cx="381000" cy="381000"/>
    <xdr:pic>
      <xdr:nvPicPr>
        <xdr:cNvPr id="45" name="image153.png">
          <a:extLst>
            <a:ext uri="{FF2B5EF4-FFF2-40B4-BE49-F238E27FC236}">
              <a16:creationId xmlns:a16="http://schemas.microsoft.com/office/drawing/2014/main" id="{00000000-0008-0000-0500-00002D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0</xdr:col>
      <xdr:colOff>0</xdr:colOff>
      <xdr:row>45</xdr:row>
      <xdr:rowOff>0</xdr:rowOff>
    </xdr:from>
    <xdr:ext cx="381000" cy="381000"/>
    <xdr:pic>
      <xdr:nvPicPr>
        <xdr:cNvPr id="46" name="image172.png">
          <a:extLst>
            <a:ext uri="{FF2B5EF4-FFF2-40B4-BE49-F238E27FC236}">
              <a16:creationId xmlns:a16="http://schemas.microsoft.com/office/drawing/2014/main" id="{00000000-0008-0000-0500-00002E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0</xdr:col>
      <xdr:colOff>0</xdr:colOff>
      <xdr:row>46</xdr:row>
      <xdr:rowOff>0</xdr:rowOff>
    </xdr:from>
    <xdr:ext cx="371475" cy="381000"/>
    <xdr:pic>
      <xdr:nvPicPr>
        <xdr:cNvPr id="47" name="image166.png">
          <a:extLst>
            <a:ext uri="{FF2B5EF4-FFF2-40B4-BE49-F238E27FC236}">
              <a16:creationId xmlns:a16="http://schemas.microsoft.com/office/drawing/2014/main" id="{00000000-0008-0000-0500-00002F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0</xdr:col>
      <xdr:colOff>0</xdr:colOff>
      <xdr:row>47</xdr:row>
      <xdr:rowOff>0</xdr:rowOff>
    </xdr:from>
    <xdr:ext cx="371475" cy="381000"/>
    <xdr:pic>
      <xdr:nvPicPr>
        <xdr:cNvPr id="48" name="image166.png">
          <a:extLst>
            <a:ext uri="{FF2B5EF4-FFF2-40B4-BE49-F238E27FC236}">
              <a16:creationId xmlns:a16="http://schemas.microsoft.com/office/drawing/2014/main" id="{00000000-0008-0000-0500-000030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0</xdr:col>
      <xdr:colOff>0</xdr:colOff>
      <xdr:row>48</xdr:row>
      <xdr:rowOff>0</xdr:rowOff>
    </xdr:from>
    <xdr:ext cx="371475" cy="381000"/>
    <xdr:pic>
      <xdr:nvPicPr>
        <xdr:cNvPr id="49" name="image156.png">
          <a:extLst>
            <a:ext uri="{FF2B5EF4-FFF2-40B4-BE49-F238E27FC236}">
              <a16:creationId xmlns:a16="http://schemas.microsoft.com/office/drawing/2014/main" id="{00000000-0008-0000-0500-000031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0</xdr:col>
      <xdr:colOff>0</xdr:colOff>
      <xdr:row>49</xdr:row>
      <xdr:rowOff>0</xdr:rowOff>
    </xdr:from>
    <xdr:ext cx="381000" cy="381000"/>
    <xdr:pic>
      <xdr:nvPicPr>
        <xdr:cNvPr id="50" name="image167.png">
          <a:extLst>
            <a:ext uri="{FF2B5EF4-FFF2-40B4-BE49-F238E27FC236}">
              <a16:creationId xmlns:a16="http://schemas.microsoft.com/office/drawing/2014/main" id="{00000000-0008-0000-0500-000032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0</xdr:col>
      <xdr:colOff>0</xdr:colOff>
      <xdr:row>50</xdr:row>
      <xdr:rowOff>0</xdr:rowOff>
    </xdr:from>
    <xdr:ext cx="371475" cy="381000"/>
    <xdr:pic>
      <xdr:nvPicPr>
        <xdr:cNvPr id="51" name="image150.png">
          <a:extLst>
            <a:ext uri="{FF2B5EF4-FFF2-40B4-BE49-F238E27FC236}">
              <a16:creationId xmlns:a16="http://schemas.microsoft.com/office/drawing/2014/main" id="{00000000-0008-0000-0500-000033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0</xdr:col>
      <xdr:colOff>0</xdr:colOff>
      <xdr:row>51</xdr:row>
      <xdr:rowOff>0</xdr:rowOff>
    </xdr:from>
    <xdr:ext cx="381000" cy="381000"/>
    <xdr:pic>
      <xdr:nvPicPr>
        <xdr:cNvPr id="52" name="image171.png">
          <a:extLst>
            <a:ext uri="{FF2B5EF4-FFF2-40B4-BE49-F238E27FC236}">
              <a16:creationId xmlns:a16="http://schemas.microsoft.com/office/drawing/2014/main" id="{00000000-0008-0000-0500-000034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0</xdr:col>
      <xdr:colOff>0</xdr:colOff>
      <xdr:row>52</xdr:row>
      <xdr:rowOff>0</xdr:rowOff>
    </xdr:from>
    <xdr:ext cx="381000" cy="381000"/>
    <xdr:pic>
      <xdr:nvPicPr>
        <xdr:cNvPr id="53" name="image171.png">
          <a:extLst>
            <a:ext uri="{FF2B5EF4-FFF2-40B4-BE49-F238E27FC236}">
              <a16:creationId xmlns:a16="http://schemas.microsoft.com/office/drawing/2014/main" id="{00000000-0008-0000-0500-000035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0</xdr:col>
      <xdr:colOff>0</xdr:colOff>
      <xdr:row>53</xdr:row>
      <xdr:rowOff>0</xdr:rowOff>
    </xdr:from>
    <xdr:ext cx="381000" cy="381000"/>
    <xdr:pic>
      <xdr:nvPicPr>
        <xdr:cNvPr id="54" name="image154.png">
          <a:extLst>
            <a:ext uri="{FF2B5EF4-FFF2-40B4-BE49-F238E27FC236}">
              <a16:creationId xmlns:a16="http://schemas.microsoft.com/office/drawing/2014/main" id="{00000000-0008-0000-0500-000036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0</xdr:col>
      <xdr:colOff>0</xdr:colOff>
      <xdr:row>54</xdr:row>
      <xdr:rowOff>0</xdr:rowOff>
    </xdr:from>
    <xdr:ext cx="381000" cy="381000"/>
    <xdr:pic>
      <xdr:nvPicPr>
        <xdr:cNvPr id="55" name="image154.png">
          <a:extLst>
            <a:ext uri="{FF2B5EF4-FFF2-40B4-BE49-F238E27FC236}">
              <a16:creationId xmlns:a16="http://schemas.microsoft.com/office/drawing/2014/main" id="{00000000-0008-0000-0500-000037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0</xdr:col>
      <xdr:colOff>0</xdr:colOff>
      <xdr:row>55</xdr:row>
      <xdr:rowOff>0</xdr:rowOff>
    </xdr:from>
    <xdr:ext cx="381000" cy="381000"/>
    <xdr:pic>
      <xdr:nvPicPr>
        <xdr:cNvPr id="56" name="image158.png">
          <a:extLst>
            <a:ext uri="{FF2B5EF4-FFF2-40B4-BE49-F238E27FC236}">
              <a16:creationId xmlns:a16="http://schemas.microsoft.com/office/drawing/2014/main" id="{00000000-0008-0000-0500-000038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0</xdr:col>
      <xdr:colOff>0</xdr:colOff>
      <xdr:row>56</xdr:row>
      <xdr:rowOff>0</xdr:rowOff>
    </xdr:from>
    <xdr:ext cx="371475" cy="381000"/>
    <xdr:pic>
      <xdr:nvPicPr>
        <xdr:cNvPr id="57" name="image164.png">
          <a:extLst>
            <a:ext uri="{FF2B5EF4-FFF2-40B4-BE49-F238E27FC236}">
              <a16:creationId xmlns:a16="http://schemas.microsoft.com/office/drawing/2014/main" id="{00000000-0008-0000-0500-000039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0</xdr:col>
      <xdr:colOff>0</xdr:colOff>
      <xdr:row>57</xdr:row>
      <xdr:rowOff>0</xdr:rowOff>
    </xdr:from>
    <xdr:ext cx="381000" cy="381000"/>
    <xdr:pic>
      <xdr:nvPicPr>
        <xdr:cNvPr id="58" name="image161.png">
          <a:extLst>
            <a:ext uri="{FF2B5EF4-FFF2-40B4-BE49-F238E27FC236}">
              <a16:creationId xmlns:a16="http://schemas.microsoft.com/office/drawing/2014/main" id="{00000000-0008-0000-0500-00003A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0</xdr:col>
      <xdr:colOff>0</xdr:colOff>
      <xdr:row>58</xdr:row>
      <xdr:rowOff>0</xdr:rowOff>
    </xdr:from>
    <xdr:ext cx="371475" cy="381000"/>
    <xdr:pic>
      <xdr:nvPicPr>
        <xdr:cNvPr id="59" name="image168.png">
          <a:extLst>
            <a:ext uri="{FF2B5EF4-FFF2-40B4-BE49-F238E27FC236}">
              <a16:creationId xmlns:a16="http://schemas.microsoft.com/office/drawing/2014/main" id="{00000000-0008-0000-0500-00003B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0</xdr:col>
      <xdr:colOff>0</xdr:colOff>
      <xdr:row>59</xdr:row>
      <xdr:rowOff>0</xdr:rowOff>
    </xdr:from>
    <xdr:ext cx="381000" cy="381000"/>
    <xdr:pic>
      <xdr:nvPicPr>
        <xdr:cNvPr id="60" name="image170.png">
          <a:extLst>
            <a:ext uri="{FF2B5EF4-FFF2-40B4-BE49-F238E27FC236}">
              <a16:creationId xmlns:a16="http://schemas.microsoft.com/office/drawing/2014/main" id="{00000000-0008-0000-0500-00003C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0</xdr:col>
      <xdr:colOff>0</xdr:colOff>
      <xdr:row>60</xdr:row>
      <xdr:rowOff>0</xdr:rowOff>
    </xdr:from>
    <xdr:ext cx="381000" cy="381000"/>
    <xdr:pic>
      <xdr:nvPicPr>
        <xdr:cNvPr id="61" name="image176.png">
          <a:extLst>
            <a:ext uri="{FF2B5EF4-FFF2-40B4-BE49-F238E27FC236}">
              <a16:creationId xmlns:a16="http://schemas.microsoft.com/office/drawing/2014/main" id="{00000000-0008-0000-0500-00003D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0</xdr:col>
      <xdr:colOff>0</xdr:colOff>
      <xdr:row>61</xdr:row>
      <xdr:rowOff>0</xdr:rowOff>
    </xdr:from>
    <xdr:ext cx="381000" cy="381000"/>
    <xdr:pic>
      <xdr:nvPicPr>
        <xdr:cNvPr id="62" name="image176.png">
          <a:extLst>
            <a:ext uri="{FF2B5EF4-FFF2-40B4-BE49-F238E27FC236}">
              <a16:creationId xmlns:a16="http://schemas.microsoft.com/office/drawing/2014/main" id="{00000000-0008-0000-0500-00003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0</xdr:col>
      <xdr:colOff>0</xdr:colOff>
      <xdr:row>62</xdr:row>
      <xdr:rowOff>0</xdr:rowOff>
    </xdr:from>
    <xdr:ext cx="381000" cy="381000"/>
    <xdr:pic>
      <xdr:nvPicPr>
        <xdr:cNvPr id="63" name="image175.png">
          <a:extLst>
            <a:ext uri="{FF2B5EF4-FFF2-40B4-BE49-F238E27FC236}">
              <a16:creationId xmlns:a16="http://schemas.microsoft.com/office/drawing/2014/main" id="{00000000-0008-0000-0500-00003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0</xdr:col>
      <xdr:colOff>0</xdr:colOff>
      <xdr:row>63</xdr:row>
      <xdr:rowOff>0</xdr:rowOff>
    </xdr:from>
    <xdr:ext cx="381000" cy="381000"/>
    <xdr:pic>
      <xdr:nvPicPr>
        <xdr:cNvPr id="64" name="image169.png">
          <a:extLst>
            <a:ext uri="{FF2B5EF4-FFF2-40B4-BE49-F238E27FC236}">
              <a16:creationId xmlns:a16="http://schemas.microsoft.com/office/drawing/2014/main" id="{00000000-0008-0000-0500-00004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0</xdr:col>
      <xdr:colOff>0</xdr:colOff>
      <xdr:row>64</xdr:row>
      <xdr:rowOff>0</xdr:rowOff>
    </xdr:from>
    <xdr:ext cx="381000" cy="381000"/>
    <xdr:pic>
      <xdr:nvPicPr>
        <xdr:cNvPr id="65" name="image173.png">
          <a:extLst>
            <a:ext uri="{FF2B5EF4-FFF2-40B4-BE49-F238E27FC236}">
              <a16:creationId xmlns:a16="http://schemas.microsoft.com/office/drawing/2014/main" id="{00000000-0008-0000-0500-00004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0</xdr:col>
      <xdr:colOff>0</xdr:colOff>
      <xdr:row>65</xdr:row>
      <xdr:rowOff>0</xdr:rowOff>
    </xdr:from>
    <xdr:ext cx="371475" cy="381000"/>
    <xdr:pic>
      <xdr:nvPicPr>
        <xdr:cNvPr id="66" name="image165.png">
          <a:extLst>
            <a:ext uri="{FF2B5EF4-FFF2-40B4-BE49-F238E27FC236}">
              <a16:creationId xmlns:a16="http://schemas.microsoft.com/office/drawing/2014/main" id="{00000000-0008-0000-0500-00004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0</xdr:col>
      <xdr:colOff>0</xdr:colOff>
      <xdr:row>66</xdr:row>
      <xdr:rowOff>0</xdr:rowOff>
    </xdr:from>
    <xdr:ext cx="381000" cy="381000"/>
    <xdr:pic>
      <xdr:nvPicPr>
        <xdr:cNvPr id="67" name="image174.png">
          <a:extLst>
            <a:ext uri="{FF2B5EF4-FFF2-40B4-BE49-F238E27FC236}">
              <a16:creationId xmlns:a16="http://schemas.microsoft.com/office/drawing/2014/main" id="{00000000-0008-0000-0500-00004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2</xdr:col>
      <xdr:colOff>0</xdr:colOff>
      <xdr:row>2</xdr:row>
      <xdr:rowOff>0</xdr:rowOff>
    </xdr:from>
    <xdr:ext cx="381000" cy="381000"/>
    <xdr:pic>
      <xdr:nvPicPr>
        <xdr:cNvPr id="2" name="image162.jpg">
          <a:extLst>
            <a:ext uri="{FF2B5EF4-FFF2-40B4-BE49-F238E27FC236}">
              <a16:creationId xmlns:a16="http://schemas.microsoft.com/office/drawing/2014/main" id="{00000000-0008-0000-06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2</xdr:row>
      <xdr:rowOff>0</xdr:rowOff>
    </xdr:from>
    <xdr:ext cx="381000" cy="381000"/>
    <xdr:pic>
      <xdr:nvPicPr>
        <xdr:cNvPr id="3" name="image153.png">
          <a:extLst>
            <a:ext uri="{FF2B5EF4-FFF2-40B4-BE49-F238E27FC236}">
              <a16:creationId xmlns:a16="http://schemas.microsoft.com/office/drawing/2014/main" id="{00000000-0008-0000-06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2</xdr:row>
      <xdr:rowOff>0</xdr:rowOff>
    </xdr:from>
    <xdr:ext cx="381000" cy="381000"/>
    <xdr:pic>
      <xdr:nvPicPr>
        <xdr:cNvPr id="4" name="image177.png">
          <a:extLst>
            <a:ext uri="{FF2B5EF4-FFF2-40B4-BE49-F238E27FC236}">
              <a16:creationId xmlns:a16="http://schemas.microsoft.com/office/drawing/2014/main" id="{00000000-0008-0000-06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11</xdr:col>
      <xdr:colOff>0</xdr:colOff>
      <xdr:row>2</xdr:row>
      <xdr:rowOff>0</xdr:rowOff>
    </xdr:from>
    <xdr:ext cx="381000" cy="381000"/>
    <xdr:pic>
      <xdr:nvPicPr>
        <xdr:cNvPr id="5" name="image1.jpg">
          <a:extLst>
            <a:ext uri="{FF2B5EF4-FFF2-40B4-BE49-F238E27FC236}">
              <a16:creationId xmlns:a16="http://schemas.microsoft.com/office/drawing/2014/main" id="{00000000-0008-0000-06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17</xdr:col>
      <xdr:colOff>0</xdr:colOff>
      <xdr:row>2</xdr:row>
      <xdr:rowOff>0</xdr:rowOff>
    </xdr:from>
    <xdr:ext cx="381000" cy="381000"/>
    <xdr:pic>
      <xdr:nvPicPr>
        <xdr:cNvPr id="6" name="image83.jpg">
          <a:extLst>
            <a:ext uri="{FF2B5EF4-FFF2-40B4-BE49-F238E27FC236}">
              <a16:creationId xmlns:a16="http://schemas.microsoft.com/office/drawing/2014/main" id="{00000000-0008-0000-06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3</xdr:row>
      <xdr:rowOff>0</xdr:rowOff>
    </xdr:from>
    <xdr:ext cx="381000" cy="381000"/>
    <xdr:pic>
      <xdr:nvPicPr>
        <xdr:cNvPr id="7" name="image162.jpg">
          <a:extLst>
            <a:ext uri="{FF2B5EF4-FFF2-40B4-BE49-F238E27FC236}">
              <a16:creationId xmlns:a16="http://schemas.microsoft.com/office/drawing/2014/main" id="{00000000-0008-0000-0600-00000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3</xdr:row>
      <xdr:rowOff>0</xdr:rowOff>
    </xdr:from>
    <xdr:ext cx="381000" cy="381000"/>
    <xdr:pic>
      <xdr:nvPicPr>
        <xdr:cNvPr id="8" name="image153.png">
          <a:extLst>
            <a:ext uri="{FF2B5EF4-FFF2-40B4-BE49-F238E27FC236}">
              <a16:creationId xmlns:a16="http://schemas.microsoft.com/office/drawing/2014/main" id="{00000000-0008-0000-0600-000008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0</xdr:colOff>
      <xdr:row>3</xdr:row>
      <xdr:rowOff>0</xdr:rowOff>
    </xdr:from>
    <xdr:ext cx="381000" cy="381000"/>
    <xdr:pic>
      <xdr:nvPicPr>
        <xdr:cNvPr id="9" name="image163.png">
          <a:extLst>
            <a:ext uri="{FF2B5EF4-FFF2-40B4-BE49-F238E27FC236}">
              <a16:creationId xmlns:a16="http://schemas.microsoft.com/office/drawing/2014/main" id="{00000000-0008-0000-0600-000009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3</xdr:row>
      <xdr:rowOff>0</xdr:rowOff>
    </xdr:from>
    <xdr:ext cx="381000" cy="381000"/>
    <xdr:pic>
      <xdr:nvPicPr>
        <xdr:cNvPr id="10" name="image14.jpg">
          <a:extLst>
            <a:ext uri="{FF2B5EF4-FFF2-40B4-BE49-F238E27FC236}">
              <a16:creationId xmlns:a16="http://schemas.microsoft.com/office/drawing/2014/main" id="{00000000-0008-0000-0600-00000A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11</xdr:col>
      <xdr:colOff>0</xdr:colOff>
      <xdr:row>3</xdr:row>
      <xdr:rowOff>0</xdr:rowOff>
    </xdr:from>
    <xdr:ext cx="381000" cy="381000"/>
    <xdr:pic>
      <xdr:nvPicPr>
        <xdr:cNvPr id="11" name="image26.jpg">
          <a:extLst>
            <a:ext uri="{FF2B5EF4-FFF2-40B4-BE49-F238E27FC236}">
              <a16:creationId xmlns:a16="http://schemas.microsoft.com/office/drawing/2014/main" id="{00000000-0008-0000-0600-00000B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17</xdr:col>
      <xdr:colOff>0</xdr:colOff>
      <xdr:row>3</xdr:row>
      <xdr:rowOff>0</xdr:rowOff>
    </xdr:from>
    <xdr:ext cx="381000" cy="381000"/>
    <xdr:pic>
      <xdr:nvPicPr>
        <xdr:cNvPr id="12" name="image20.png">
          <a:extLst>
            <a:ext uri="{FF2B5EF4-FFF2-40B4-BE49-F238E27FC236}">
              <a16:creationId xmlns:a16="http://schemas.microsoft.com/office/drawing/2014/main" id="{00000000-0008-0000-0600-00000C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xdr:row>
      <xdr:rowOff>0</xdr:rowOff>
    </xdr:from>
    <xdr:ext cx="381000" cy="381000"/>
    <xdr:pic>
      <xdr:nvPicPr>
        <xdr:cNvPr id="13" name="image189.jpg">
          <a:extLst>
            <a:ext uri="{FF2B5EF4-FFF2-40B4-BE49-F238E27FC236}">
              <a16:creationId xmlns:a16="http://schemas.microsoft.com/office/drawing/2014/main" id="{00000000-0008-0000-0600-00000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0</xdr:colOff>
      <xdr:row>4</xdr:row>
      <xdr:rowOff>0</xdr:rowOff>
    </xdr:from>
    <xdr:ext cx="381000" cy="381000"/>
    <xdr:pic>
      <xdr:nvPicPr>
        <xdr:cNvPr id="14" name="image154.png">
          <a:extLst>
            <a:ext uri="{FF2B5EF4-FFF2-40B4-BE49-F238E27FC236}">
              <a16:creationId xmlns:a16="http://schemas.microsoft.com/office/drawing/2014/main" id="{00000000-0008-0000-0600-00000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4</xdr:row>
      <xdr:rowOff>0</xdr:rowOff>
    </xdr:from>
    <xdr:ext cx="381000" cy="381000"/>
    <xdr:pic>
      <xdr:nvPicPr>
        <xdr:cNvPr id="15" name="image163.png">
          <a:extLst>
            <a:ext uri="{FF2B5EF4-FFF2-40B4-BE49-F238E27FC236}">
              <a16:creationId xmlns:a16="http://schemas.microsoft.com/office/drawing/2014/main" id="{00000000-0008-0000-0600-00000F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4</xdr:row>
      <xdr:rowOff>0</xdr:rowOff>
    </xdr:from>
    <xdr:ext cx="381000" cy="381000"/>
    <xdr:pic>
      <xdr:nvPicPr>
        <xdr:cNvPr id="16" name="image187.jpg">
          <a:extLst>
            <a:ext uri="{FF2B5EF4-FFF2-40B4-BE49-F238E27FC236}">
              <a16:creationId xmlns:a16="http://schemas.microsoft.com/office/drawing/2014/main" id="{00000000-0008-0000-0600-000010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11</xdr:col>
      <xdr:colOff>0</xdr:colOff>
      <xdr:row>4</xdr:row>
      <xdr:rowOff>0</xdr:rowOff>
    </xdr:from>
    <xdr:ext cx="381000" cy="381000"/>
    <xdr:pic>
      <xdr:nvPicPr>
        <xdr:cNvPr id="17" name="image184.jpg">
          <a:extLst>
            <a:ext uri="{FF2B5EF4-FFF2-40B4-BE49-F238E27FC236}">
              <a16:creationId xmlns:a16="http://schemas.microsoft.com/office/drawing/2014/main" id="{00000000-0008-0000-0600-000011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17</xdr:col>
      <xdr:colOff>0</xdr:colOff>
      <xdr:row>4</xdr:row>
      <xdr:rowOff>0</xdr:rowOff>
    </xdr:from>
    <xdr:ext cx="381000" cy="381000"/>
    <xdr:pic>
      <xdr:nvPicPr>
        <xdr:cNvPr id="18" name="image35.jpg">
          <a:extLst>
            <a:ext uri="{FF2B5EF4-FFF2-40B4-BE49-F238E27FC236}">
              <a16:creationId xmlns:a16="http://schemas.microsoft.com/office/drawing/2014/main" id="{00000000-0008-0000-0600-000012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0</xdr:colOff>
      <xdr:row>5</xdr:row>
      <xdr:rowOff>0</xdr:rowOff>
    </xdr:from>
    <xdr:ext cx="381000" cy="381000"/>
    <xdr:pic>
      <xdr:nvPicPr>
        <xdr:cNvPr id="19" name="image162.jpg">
          <a:extLst>
            <a:ext uri="{FF2B5EF4-FFF2-40B4-BE49-F238E27FC236}">
              <a16:creationId xmlns:a16="http://schemas.microsoft.com/office/drawing/2014/main" id="{00000000-0008-0000-0600-00001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5</xdr:row>
      <xdr:rowOff>0</xdr:rowOff>
    </xdr:from>
    <xdr:ext cx="381000" cy="381000"/>
    <xdr:pic>
      <xdr:nvPicPr>
        <xdr:cNvPr id="20" name="image153.png">
          <a:extLst>
            <a:ext uri="{FF2B5EF4-FFF2-40B4-BE49-F238E27FC236}">
              <a16:creationId xmlns:a16="http://schemas.microsoft.com/office/drawing/2014/main" id="{00000000-0008-0000-0600-00001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0</xdr:colOff>
      <xdr:row>5</xdr:row>
      <xdr:rowOff>0</xdr:rowOff>
    </xdr:from>
    <xdr:ext cx="381000" cy="381000"/>
    <xdr:pic>
      <xdr:nvPicPr>
        <xdr:cNvPr id="21" name="image178.png">
          <a:extLst>
            <a:ext uri="{FF2B5EF4-FFF2-40B4-BE49-F238E27FC236}">
              <a16:creationId xmlns:a16="http://schemas.microsoft.com/office/drawing/2014/main" id="{00000000-0008-0000-0600-000015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5</xdr:row>
      <xdr:rowOff>0</xdr:rowOff>
    </xdr:from>
    <xdr:ext cx="381000" cy="381000"/>
    <xdr:pic>
      <xdr:nvPicPr>
        <xdr:cNvPr id="22" name="image14.jpg">
          <a:extLst>
            <a:ext uri="{FF2B5EF4-FFF2-40B4-BE49-F238E27FC236}">
              <a16:creationId xmlns:a16="http://schemas.microsoft.com/office/drawing/2014/main" id="{00000000-0008-0000-0600-000016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11</xdr:col>
      <xdr:colOff>0</xdr:colOff>
      <xdr:row>5</xdr:row>
      <xdr:rowOff>0</xdr:rowOff>
    </xdr:from>
    <xdr:ext cx="381000" cy="381000"/>
    <xdr:pic>
      <xdr:nvPicPr>
        <xdr:cNvPr id="23" name="image26.jpg">
          <a:extLst>
            <a:ext uri="{FF2B5EF4-FFF2-40B4-BE49-F238E27FC236}">
              <a16:creationId xmlns:a16="http://schemas.microsoft.com/office/drawing/2014/main" id="{00000000-0008-0000-0600-000017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17</xdr:col>
      <xdr:colOff>0</xdr:colOff>
      <xdr:row>5</xdr:row>
      <xdr:rowOff>0</xdr:rowOff>
    </xdr:from>
    <xdr:ext cx="381000" cy="381000"/>
    <xdr:pic>
      <xdr:nvPicPr>
        <xdr:cNvPr id="24" name="image8.jpg">
          <a:extLst>
            <a:ext uri="{FF2B5EF4-FFF2-40B4-BE49-F238E27FC236}">
              <a16:creationId xmlns:a16="http://schemas.microsoft.com/office/drawing/2014/main" id="{00000000-0008-0000-0600-000018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6</xdr:row>
      <xdr:rowOff>0</xdr:rowOff>
    </xdr:from>
    <xdr:ext cx="381000" cy="381000"/>
    <xdr:pic>
      <xdr:nvPicPr>
        <xdr:cNvPr id="25" name="image189.jpg">
          <a:extLst>
            <a:ext uri="{FF2B5EF4-FFF2-40B4-BE49-F238E27FC236}">
              <a16:creationId xmlns:a16="http://schemas.microsoft.com/office/drawing/2014/main" id="{00000000-0008-0000-0600-000019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0</xdr:colOff>
      <xdr:row>6</xdr:row>
      <xdr:rowOff>0</xdr:rowOff>
    </xdr:from>
    <xdr:ext cx="381000" cy="381000"/>
    <xdr:pic>
      <xdr:nvPicPr>
        <xdr:cNvPr id="26" name="image154.png">
          <a:extLst>
            <a:ext uri="{FF2B5EF4-FFF2-40B4-BE49-F238E27FC236}">
              <a16:creationId xmlns:a16="http://schemas.microsoft.com/office/drawing/2014/main" id="{00000000-0008-0000-0600-00001A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6</xdr:row>
      <xdr:rowOff>0</xdr:rowOff>
    </xdr:from>
    <xdr:ext cx="381000" cy="381000"/>
    <xdr:pic>
      <xdr:nvPicPr>
        <xdr:cNvPr id="27" name="image163.png">
          <a:extLst>
            <a:ext uri="{FF2B5EF4-FFF2-40B4-BE49-F238E27FC236}">
              <a16:creationId xmlns:a16="http://schemas.microsoft.com/office/drawing/2014/main" id="{00000000-0008-0000-0600-00001B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6</xdr:row>
      <xdr:rowOff>0</xdr:rowOff>
    </xdr:from>
    <xdr:ext cx="381000" cy="381000"/>
    <xdr:pic>
      <xdr:nvPicPr>
        <xdr:cNvPr id="28" name="image188.jpg">
          <a:extLst>
            <a:ext uri="{FF2B5EF4-FFF2-40B4-BE49-F238E27FC236}">
              <a16:creationId xmlns:a16="http://schemas.microsoft.com/office/drawing/2014/main" id="{00000000-0008-0000-0600-00001C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11</xdr:col>
      <xdr:colOff>0</xdr:colOff>
      <xdr:row>6</xdr:row>
      <xdr:rowOff>0</xdr:rowOff>
    </xdr:from>
    <xdr:ext cx="381000" cy="381000"/>
    <xdr:pic>
      <xdr:nvPicPr>
        <xdr:cNvPr id="29" name="image17.jpg">
          <a:extLst>
            <a:ext uri="{FF2B5EF4-FFF2-40B4-BE49-F238E27FC236}">
              <a16:creationId xmlns:a16="http://schemas.microsoft.com/office/drawing/2014/main" id="{00000000-0008-0000-0600-00001D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17</xdr:col>
      <xdr:colOff>0</xdr:colOff>
      <xdr:row>6</xdr:row>
      <xdr:rowOff>0</xdr:rowOff>
    </xdr:from>
    <xdr:ext cx="381000" cy="381000"/>
    <xdr:pic>
      <xdr:nvPicPr>
        <xdr:cNvPr id="30" name="image20.png">
          <a:extLst>
            <a:ext uri="{FF2B5EF4-FFF2-40B4-BE49-F238E27FC236}">
              <a16:creationId xmlns:a16="http://schemas.microsoft.com/office/drawing/2014/main" id="{00000000-0008-0000-0600-00001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7</xdr:row>
      <xdr:rowOff>0</xdr:rowOff>
    </xdr:from>
    <xdr:ext cx="381000" cy="381000"/>
    <xdr:pic>
      <xdr:nvPicPr>
        <xdr:cNvPr id="31" name="image139.jpg">
          <a:extLst>
            <a:ext uri="{FF2B5EF4-FFF2-40B4-BE49-F238E27FC236}">
              <a16:creationId xmlns:a16="http://schemas.microsoft.com/office/drawing/2014/main" id="{00000000-0008-0000-0600-00001F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3</xdr:col>
      <xdr:colOff>0</xdr:colOff>
      <xdr:row>7</xdr:row>
      <xdr:rowOff>0</xdr:rowOff>
    </xdr:from>
    <xdr:ext cx="371475" cy="381000"/>
    <xdr:pic>
      <xdr:nvPicPr>
        <xdr:cNvPr id="32" name="image186.png">
          <a:extLst>
            <a:ext uri="{FF2B5EF4-FFF2-40B4-BE49-F238E27FC236}">
              <a16:creationId xmlns:a16="http://schemas.microsoft.com/office/drawing/2014/main" id="{00000000-0008-0000-0600-000020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4</xdr:col>
      <xdr:colOff>0</xdr:colOff>
      <xdr:row>7</xdr:row>
      <xdr:rowOff>0</xdr:rowOff>
    </xdr:from>
    <xdr:ext cx="381000" cy="381000"/>
    <xdr:pic>
      <xdr:nvPicPr>
        <xdr:cNvPr id="33" name="image178.png">
          <a:extLst>
            <a:ext uri="{FF2B5EF4-FFF2-40B4-BE49-F238E27FC236}">
              <a16:creationId xmlns:a16="http://schemas.microsoft.com/office/drawing/2014/main" id="{00000000-0008-0000-0600-000021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7</xdr:row>
      <xdr:rowOff>0</xdr:rowOff>
    </xdr:from>
    <xdr:ext cx="381000" cy="381000"/>
    <xdr:pic>
      <xdr:nvPicPr>
        <xdr:cNvPr id="34" name="image14.jpg">
          <a:extLst>
            <a:ext uri="{FF2B5EF4-FFF2-40B4-BE49-F238E27FC236}">
              <a16:creationId xmlns:a16="http://schemas.microsoft.com/office/drawing/2014/main" id="{00000000-0008-0000-0600-000022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11</xdr:col>
      <xdr:colOff>0</xdr:colOff>
      <xdr:row>7</xdr:row>
      <xdr:rowOff>0</xdr:rowOff>
    </xdr:from>
    <xdr:ext cx="381000" cy="381000"/>
    <xdr:pic>
      <xdr:nvPicPr>
        <xdr:cNvPr id="35" name="image26.jpg">
          <a:extLst>
            <a:ext uri="{FF2B5EF4-FFF2-40B4-BE49-F238E27FC236}">
              <a16:creationId xmlns:a16="http://schemas.microsoft.com/office/drawing/2014/main" id="{00000000-0008-0000-0600-000023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17</xdr:col>
      <xdr:colOff>0</xdr:colOff>
      <xdr:row>7</xdr:row>
      <xdr:rowOff>0</xdr:rowOff>
    </xdr:from>
    <xdr:ext cx="381000" cy="381000"/>
    <xdr:pic>
      <xdr:nvPicPr>
        <xdr:cNvPr id="36" name="image20.png">
          <a:extLst>
            <a:ext uri="{FF2B5EF4-FFF2-40B4-BE49-F238E27FC236}">
              <a16:creationId xmlns:a16="http://schemas.microsoft.com/office/drawing/2014/main" id="{00000000-0008-0000-0600-000024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8</xdr:row>
      <xdr:rowOff>0</xdr:rowOff>
    </xdr:from>
    <xdr:ext cx="381000" cy="381000"/>
    <xdr:pic>
      <xdr:nvPicPr>
        <xdr:cNvPr id="37" name="image162.jpg">
          <a:extLst>
            <a:ext uri="{FF2B5EF4-FFF2-40B4-BE49-F238E27FC236}">
              <a16:creationId xmlns:a16="http://schemas.microsoft.com/office/drawing/2014/main" id="{00000000-0008-0000-0600-00002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8</xdr:row>
      <xdr:rowOff>0</xdr:rowOff>
    </xdr:from>
    <xdr:ext cx="381000" cy="381000"/>
    <xdr:pic>
      <xdr:nvPicPr>
        <xdr:cNvPr id="38" name="image153.png">
          <a:extLst>
            <a:ext uri="{FF2B5EF4-FFF2-40B4-BE49-F238E27FC236}">
              <a16:creationId xmlns:a16="http://schemas.microsoft.com/office/drawing/2014/main" id="{00000000-0008-0000-0600-00002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0</xdr:colOff>
      <xdr:row>8</xdr:row>
      <xdr:rowOff>0</xdr:rowOff>
    </xdr:from>
    <xdr:ext cx="381000" cy="381000"/>
    <xdr:pic>
      <xdr:nvPicPr>
        <xdr:cNvPr id="39" name="image179.png">
          <a:extLst>
            <a:ext uri="{FF2B5EF4-FFF2-40B4-BE49-F238E27FC236}">
              <a16:creationId xmlns:a16="http://schemas.microsoft.com/office/drawing/2014/main" id="{00000000-0008-0000-0600-000027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5</xdr:col>
      <xdr:colOff>0</xdr:colOff>
      <xdr:row>8</xdr:row>
      <xdr:rowOff>0</xdr:rowOff>
    </xdr:from>
    <xdr:ext cx="381000" cy="381000"/>
    <xdr:pic>
      <xdr:nvPicPr>
        <xdr:cNvPr id="40" name="image53.jpg">
          <a:extLst>
            <a:ext uri="{FF2B5EF4-FFF2-40B4-BE49-F238E27FC236}">
              <a16:creationId xmlns:a16="http://schemas.microsoft.com/office/drawing/2014/main" id="{00000000-0008-0000-0600-000028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11</xdr:col>
      <xdr:colOff>0</xdr:colOff>
      <xdr:row>8</xdr:row>
      <xdr:rowOff>0</xdr:rowOff>
    </xdr:from>
    <xdr:ext cx="381000" cy="381000"/>
    <xdr:pic>
      <xdr:nvPicPr>
        <xdr:cNvPr id="41" name="image1.jpg">
          <a:extLst>
            <a:ext uri="{FF2B5EF4-FFF2-40B4-BE49-F238E27FC236}">
              <a16:creationId xmlns:a16="http://schemas.microsoft.com/office/drawing/2014/main" id="{00000000-0008-0000-0600-00002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17</xdr:col>
      <xdr:colOff>0</xdr:colOff>
      <xdr:row>8</xdr:row>
      <xdr:rowOff>0</xdr:rowOff>
    </xdr:from>
    <xdr:ext cx="381000" cy="381000"/>
    <xdr:pic>
      <xdr:nvPicPr>
        <xdr:cNvPr id="42" name="image192.jpg">
          <a:extLst>
            <a:ext uri="{FF2B5EF4-FFF2-40B4-BE49-F238E27FC236}">
              <a16:creationId xmlns:a16="http://schemas.microsoft.com/office/drawing/2014/main" id="{00000000-0008-0000-0600-00002A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9</xdr:row>
      <xdr:rowOff>0</xdr:rowOff>
    </xdr:from>
    <xdr:ext cx="381000" cy="381000"/>
    <xdr:pic>
      <xdr:nvPicPr>
        <xdr:cNvPr id="43" name="image189.jpg">
          <a:extLst>
            <a:ext uri="{FF2B5EF4-FFF2-40B4-BE49-F238E27FC236}">
              <a16:creationId xmlns:a16="http://schemas.microsoft.com/office/drawing/2014/main" id="{00000000-0008-0000-0600-00002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0</xdr:colOff>
      <xdr:row>9</xdr:row>
      <xdr:rowOff>0</xdr:rowOff>
    </xdr:from>
    <xdr:ext cx="381000" cy="381000"/>
    <xdr:pic>
      <xdr:nvPicPr>
        <xdr:cNvPr id="44" name="image154.png">
          <a:extLst>
            <a:ext uri="{FF2B5EF4-FFF2-40B4-BE49-F238E27FC236}">
              <a16:creationId xmlns:a16="http://schemas.microsoft.com/office/drawing/2014/main" id="{00000000-0008-0000-0600-00002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9</xdr:row>
      <xdr:rowOff>0</xdr:rowOff>
    </xdr:from>
    <xdr:ext cx="381000" cy="381000"/>
    <xdr:pic>
      <xdr:nvPicPr>
        <xdr:cNvPr id="45" name="image178.png">
          <a:extLst>
            <a:ext uri="{FF2B5EF4-FFF2-40B4-BE49-F238E27FC236}">
              <a16:creationId xmlns:a16="http://schemas.microsoft.com/office/drawing/2014/main" id="{00000000-0008-0000-0600-00002D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9</xdr:row>
      <xdr:rowOff>0</xdr:rowOff>
    </xdr:from>
    <xdr:ext cx="381000" cy="381000"/>
    <xdr:pic>
      <xdr:nvPicPr>
        <xdr:cNvPr id="46" name="image14.jpg">
          <a:extLst>
            <a:ext uri="{FF2B5EF4-FFF2-40B4-BE49-F238E27FC236}">
              <a16:creationId xmlns:a16="http://schemas.microsoft.com/office/drawing/2014/main" id="{00000000-0008-0000-0600-00002E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11</xdr:col>
      <xdr:colOff>0</xdr:colOff>
      <xdr:row>9</xdr:row>
      <xdr:rowOff>0</xdr:rowOff>
    </xdr:from>
    <xdr:ext cx="381000" cy="381000"/>
    <xdr:pic>
      <xdr:nvPicPr>
        <xdr:cNvPr id="47" name="image182.jpg">
          <a:extLst>
            <a:ext uri="{FF2B5EF4-FFF2-40B4-BE49-F238E27FC236}">
              <a16:creationId xmlns:a16="http://schemas.microsoft.com/office/drawing/2014/main" id="{00000000-0008-0000-0600-00002F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17</xdr:col>
      <xdr:colOff>0</xdr:colOff>
      <xdr:row>9</xdr:row>
      <xdr:rowOff>0</xdr:rowOff>
    </xdr:from>
    <xdr:ext cx="381000" cy="381000"/>
    <xdr:pic>
      <xdr:nvPicPr>
        <xdr:cNvPr id="48" name="image20.png">
          <a:extLst>
            <a:ext uri="{FF2B5EF4-FFF2-40B4-BE49-F238E27FC236}">
              <a16:creationId xmlns:a16="http://schemas.microsoft.com/office/drawing/2014/main" id="{00000000-0008-0000-0600-000030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10</xdr:row>
      <xdr:rowOff>0</xdr:rowOff>
    </xdr:from>
    <xdr:ext cx="381000" cy="381000"/>
    <xdr:pic>
      <xdr:nvPicPr>
        <xdr:cNvPr id="49" name="image181.jpg">
          <a:extLst>
            <a:ext uri="{FF2B5EF4-FFF2-40B4-BE49-F238E27FC236}">
              <a16:creationId xmlns:a16="http://schemas.microsoft.com/office/drawing/2014/main" id="{00000000-0008-0000-0600-000031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3</xdr:col>
      <xdr:colOff>0</xdr:colOff>
      <xdr:row>10</xdr:row>
      <xdr:rowOff>0</xdr:rowOff>
    </xdr:from>
    <xdr:ext cx="381000" cy="381000"/>
    <xdr:pic>
      <xdr:nvPicPr>
        <xdr:cNvPr id="50" name="image154.png">
          <a:extLst>
            <a:ext uri="{FF2B5EF4-FFF2-40B4-BE49-F238E27FC236}">
              <a16:creationId xmlns:a16="http://schemas.microsoft.com/office/drawing/2014/main" id="{00000000-0008-0000-0600-00003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10</xdr:row>
      <xdr:rowOff>0</xdr:rowOff>
    </xdr:from>
    <xdr:ext cx="381000" cy="381000"/>
    <xdr:pic>
      <xdr:nvPicPr>
        <xdr:cNvPr id="51" name="image178.png">
          <a:extLst>
            <a:ext uri="{FF2B5EF4-FFF2-40B4-BE49-F238E27FC236}">
              <a16:creationId xmlns:a16="http://schemas.microsoft.com/office/drawing/2014/main" id="{00000000-0008-0000-0600-000033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10</xdr:row>
      <xdr:rowOff>0</xdr:rowOff>
    </xdr:from>
    <xdr:ext cx="381000" cy="381000"/>
    <xdr:pic>
      <xdr:nvPicPr>
        <xdr:cNvPr id="52" name="image14.jpg">
          <a:extLst>
            <a:ext uri="{FF2B5EF4-FFF2-40B4-BE49-F238E27FC236}">
              <a16:creationId xmlns:a16="http://schemas.microsoft.com/office/drawing/2014/main" id="{00000000-0008-0000-0600-000034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11</xdr:col>
      <xdr:colOff>0</xdr:colOff>
      <xdr:row>10</xdr:row>
      <xdr:rowOff>0</xdr:rowOff>
    </xdr:from>
    <xdr:ext cx="381000" cy="381000"/>
    <xdr:pic>
      <xdr:nvPicPr>
        <xdr:cNvPr id="53" name="image182.jpg">
          <a:extLst>
            <a:ext uri="{FF2B5EF4-FFF2-40B4-BE49-F238E27FC236}">
              <a16:creationId xmlns:a16="http://schemas.microsoft.com/office/drawing/2014/main" id="{00000000-0008-0000-0600-00003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17</xdr:col>
      <xdr:colOff>0</xdr:colOff>
      <xdr:row>10</xdr:row>
      <xdr:rowOff>0</xdr:rowOff>
    </xdr:from>
    <xdr:ext cx="381000" cy="381000"/>
    <xdr:pic>
      <xdr:nvPicPr>
        <xdr:cNvPr id="54" name="image20.png">
          <a:extLst>
            <a:ext uri="{FF2B5EF4-FFF2-40B4-BE49-F238E27FC236}">
              <a16:creationId xmlns:a16="http://schemas.microsoft.com/office/drawing/2014/main" id="{00000000-0008-0000-0600-000036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11</xdr:row>
      <xdr:rowOff>0</xdr:rowOff>
    </xdr:from>
    <xdr:ext cx="381000" cy="381000"/>
    <xdr:pic>
      <xdr:nvPicPr>
        <xdr:cNvPr id="55" name="image193.jpg">
          <a:extLst>
            <a:ext uri="{FF2B5EF4-FFF2-40B4-BE49-F238E27FC236}">
              <a16:creationId xmlns:a16="http://schemas.microsoft.com/office/drawing/2014/main" id="{00000000-0008-0000-0600-000037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3</xdr:col>
      <xdr:colOff>0</xdr:colOff>
      <xdr:row>11</xdr:row>
      <xdr:rowOff>0</xdr:rowOff>
    </xdr:from>
    <xdr:ext cx="381000" cy="381000"/>
    <xdr:pic>
      <xdr:nvPicPr>
        <xdr:cNvPr id="56" name="image190.png">
          <a:extLst>
            <a:ext uri="{FF2B5EF4-FFF2-40B4-BE49-F238E27FC236}">
              <a16:creationId xmlns:a16="http://schemas.microsoft.com/office/drawing/2014/main" id="{00000000-0008-0000-0600-000038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4</xdr:col>
      <xdr:colOff>0</xdr:colOff>
      <xdr:row>11</xdr:row>
      <xdr:rowOff>0</xdr:rowOff>
    </xdr:from>
    <xdr:ext cx="381000" cy="381000"/>
    <xdr:pic>
      <xdr:nvPicPr>
        <xdr:cNvPr id="57" name="image163.png">
          <a:extLst>
            <a:ext uri="{FF2B5EF4-FFF2-40B4-BE49-F238E27FC236}">
              <a16:creationId xmlns:a16="http://schemas.microsoft.com/office/drawing/2014/main" id="{00000000-0008-0000-0600-000039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11</xdr:row>
      <xdr:rowOff>0</xdr:rowOff>
    </xdr:from>
    <xdr:ext cx="381000" cy="381000"/>
    <xdr:pic>
      <xdr:nvPicPr>
        <xdr:cNvPr id="58" name="image49.jpg">
          <a:extLst>
            <a:ext uri="{FF2B5EF4-FFF2-40B4-BE49-F238E27FC236}">
              <a16:creationId xmlns:a16="http://schemas.microsoft.com/office/drawing/2014/main" id="{00000000-0008-0000-0600-00003A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11</xdr:col>
      <xdr:colOff>0</xdr:colOff>
      <xdr:row>11</xdr:row>
      <xdr:rowOff>0</xdr:rowOff>
    </xdr:from>
    <xdr:ext cx="381000" cy="381000"/>
    <xdr:pic>
      <xdr:nvPicPr>
        <xdr:cNvPr id="59" name="image183.jpg">
          <a:extLst>
            <a:ext uri="{FF2B5EF4-FFF2-40B4-BE49-F238E27FC236}">
              <a16:creationId xmlns:a16="http://schemas.microsoft.com/office/drawing/2014/main" id="{00000000-0008-0000-0600-00003B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17</xdr:col>
      <xdr:colOff>0</xdr:colOff>
      <xdr:row>11</xdr:row>
      <xdr:rowOff>0</xdr:rowOff>
    </xdr:from>
    <xdr:ext cx="381000" cy="381000"/>
    <xdr:pic>
      <xdr:nvPicPr>
        <xdr:cNvPr id="60" name="image20.png">
          <a:extLst>
            <a:ext uri="{FF2B5EF4-FFF2-40B4-BE49-F238E27FC236}">
              <a16:creationId xmlns:a16="http://schemas.microsoft.com/office/drawing/2014/main" id="{00000000-0008-0000-0600-00003C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12</xdr:row>
      <xdr:rowOff>0</xdr:rowOff>
    </xdr:from>
    <xdr:ext cx="381000" cy="381000"/>
    <xdr:pic>
      <xdr:nvPicPr>
        <xdr:cNvPr id="61" name="image162.jpg">
          <a:extLst>
            <a:ext uri="{FF2B5EF4-FFF2-40B4-BE49-F238E27FC236}">
              <a16:creationId xmlns:a16="http://schemas.microsoft.com/office/drawing/2014/main" id="{00000000-0008-0000-0600-00003D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12</xdr:row>
      <xdr:rowOff>0</xdr:rowOff>
    </xdr:from>
    <xdr:ext cx="381000" cy="381000"/>
    <xdr:pic>
      <xdr:nvPicPr>
        <xdr:cNvPr id="62" name="image154.png">
          <a:extLst>
            <a:ext uri="{FF2B5EF4-FFF2-40B4-BE49-F238E27FC236}">
              <a16:creationId xmlns:a16="http://schemas.microsoft.com/office/drawing/2014/main" id="{00000000-0008-0000-0600-00003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12</xdr:row>
      <xdr:rowOff>0</xdr:rowOff>
    </xdr:from>
    <xdr:ext cx="381000" cy="381000"/>
    <xdr:pic>
      <xdr:nvPicPr>
        <xdr:cNvPr id="63" name="image163.png">
          <a:extLst>
            <a:ext uri="{FF2B5EF4-FFF2-40B4-BE49-F238E27FC236}">
              <a16:creationId xmlns:a16="http://schemas.microsoft.com/office/drawing/2014/main" id="{00000000-0008-0000-0600-00003F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12</xdr:row>
      <xdr:rowOff>0</xdr:rowOff>
    </xdr:from>
    <xdr:ext cx="381000" cy="381000"/>
    <xdr:pic>
      <xdr:nvPicPr>
        <xdr:cNvPr id="64" name="image177.png">
          <a:extLst>
            <a:ext uri="{FF2B5EF4-FFF2-40B4-BE49-F238E27FC236}">
              <a16:creationId xmlns:a16="http://schemas.microsoft.com/office/drawing/2014/main" id="{00000000-0008-0000-0600-00004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11</xdr:col>
      <xdr:colOff>0</xdr:colOff>
      <xdr:row>12</xdr:row>
      <xdr:rowOff>0</xdr:rowOff>
    </xdr:from>
    <xdr:ext cx="381000" cy="381000"/>
    <xdr:pic>
      <xdr:nvPicPr>
        <xdr:cNvPr id="65" name="image1.jpg">
          <a:extLst>
            <a:ext uri="{FF2B5EF4-FFF2-40B4-BE49-F238E27FC236}">
              <a16:creationId xmlns:a16="http://schemas.microsoft.com/office/drawing/2014/main" id="{00000000-0008-0000-0600-000041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17</xdr:col>
      <xdr:colOff>0</xdr:colOff>
      <xdr:row>12</xdr:row>
      <xdr:rowOff>0</xdr:rowOff>
    </xdr:from>
    <xdr:ext cx="381000" cy="381000"/>
    <xdr:pic>
      <xdr:nvPicPr>
        <xdr:cNvPr id="66" name="image35.jpg">
          <a:extLst>
            <a:ext uri="{FF2B5EF4-FFF2-40B4-BE49-F238E27FC236}">
              <a16:creationId xmlns:a16="http://schemas.microsoft.com/office/drawing/2014/main" id="{00000000-0008-0000-0600-000042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0</xdr:colOff>
      <xdr:row>13</xdr:row>
      <xdr:rowOff>0</xdr:rowOff>
    </xdr:from>
    <xdr:ext cx="381000" cy="381000"/>
    <xdr:pic>
      <xdr:nvPicPr>
        <xdr:cNvPr id="67" name="image162.jpg">
          <a:extLst>
            <a:ext uri="{FF2B5EF4-FFF2-40B4-BE49-F238E27FC236}">
              <a16:creationId xmlns:a16="http://schemas.microsoft.com/office/drawing/2014/main" id="{00000000-0008-0000-0600-00004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13</xdr:row>
      <xdr:rowOff>0</xdr:rowOff>
    </xdr:from>
    <xdr:ext cx="381000" cy="381000"/>
    <xdr:pic>
      <xdr:nvPicPr>
        <xdr:cNvPr id="68" name="image154.png">
          <a:extLst>
            <a:ext uri="{FF2B5EF4-FFF2-40B4-BE49-F238E27FC236}">
              <a16:creationId xmlns:a16="http://schemas.microsoft.com/office/drawing/2014/main" id="{00000000-0008-0000-0600-000044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13</xdr:row>
      <xdr:rowOff>0</xdr:rowOff>
    </xdr:from>
    <xdr:ext cx="381000" cy="381000"/>
    <xdr:pic>
      <xdr:nvPicPr>
        <xdr:cNvPr id="69" name="image185.png">
          <a:extLst>
            <a:ext uri="{FF2B5EF4-FFF2-40B4-BE49-F238E27FC236}">
              <a16:creationId xmlns:a16="http://schemas.microsoft.com/office/drawing/2014/main" id="{00000000-0008-0000-0600-000045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5</xdr:col>
      <xdr:colOff>0</xdr:colOff>
      <xdr:row>13</xdr:row>
      <xdr:rowOff>0</xdr:rowOff>
    </xdr:from>
    <xdr:ext cx="381000" cy="381000"/>
    <xdr:pic>
      <xdr:nvPicPr>
        <xdr:cNvPr id="70" name="image177.png">
          <a:extLst>
            <a:ext uri="{FF2B5EF4-FFF2-40B4-BE49-F238E27FC236}">
              <a16:creationId xmlns:a16="http://schemas.microsoft.com/office/drawing/2014/main" id="{00000000-0008-0000-0600-00004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11</xdr:col>
      <xdr:colOff>0</xdr:colOff>
      <xdr:row>13</xdr:row>
      <xdr:rowOff>0</xdr:rowOff>
    </xdr:from>
    <xdr:ext cx="381000" cy="381000"/>
    <xdr:pic>
      <xdr:nvPicPr>
        <xdr:cNvPr id="71" name="image1.jpg">
          <a:extLst>
            <a:ext uri="{FF2B5EF4-FFF2-40B4-BE49-F238E27FC236}">
              <a16:creationId xmlns:a16="http://schemas.microsoft.com/office/drawing/2014/main" id="{00000000-0008-0000-0600-00004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17</xdr:col>
      <xdr:colOff>0</xdr:colOff>
      <xdr:row>13</xdr:row>
      <xdr:rowOff>0</xdr:rowOff>
    </xdr:from>
    <xdr:ext cx="381000" cy="381000"/>
    <xdr:pic>
      <xdr:nvPicPr>
        <xdr:cNvPr id="72" name="image180.jpg">
          <a:extLst>
            <a:ext uri="{FF2B5EF4-FFF2-40B4-BE49-F238E27FC236}">
              <a16:creationId xmlns:a16="http://schemas.microsoft.com/office/drawing/2014/main" id="{00000000-0008-0000-0600-000048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14</xdr:row>
      <xdr:rowOff>0</xdr:rowOff>
    </xdr:from>
    <xdr:ext cx="381000" cy="381000"/>
    <xdr:pic>
      <xdr:nvPicPr>
        <xdr:cNvPr id="73" name="image139.jpg">
          <a:extLst>
            <a:ext uri="{FF2B5EF4-FFF2-40B4-BE49-F238E27FC236}">
              <a16:creationId xmlns:a16="http://schemas.microsoft.com/office/drawing/2014/main" id="{00000000-0008-0000-0600-000049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3</xdr:col>
      <xdr:colOff>0</xdr:colOff>
      <xdr:row>14</xdr:row>
      <xdr:rowOff>0</xdr:rowOff>
    </xdr:from>
    <xdr:ext cx="371475" cy="381000"/>
    <xdr:pic>
      <xdr:nvPicPr>
        <xdr:cNvPr id="74" name="image186.png">
          <a:extLst>
            <a:ext uri="{FF2B5EF4-FFF2-40B4-BE49-F238E27FC236}">
              <a16:creationId xmlns:a16="http://schemas.microsoft.com/office/drawing/2014/main" id="{00000000-0008-0000-0600-00004A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4</xdr:col>
      <xdr:colOff>0</xdr:colOff>
      <xdr:row>14</xdr:row>
      <xdr:rowOff>0</xdr:rowOff>
    </xdr:from>
    <xdr:ext cx="381000" cy="381000"/>
    <xdr:pic>
      <xdr:nvPicPr>
        <xdr:cNvPr id="75" name="image198.png">
          <a:extLst>
            <a:ext uri="{FF2B5EF4-FFF2-40B4-BE49-F238E27FC236}">
              <a16:creationId xmlns:a16="http://schemas.microsoft.com/office/drawing/2014/main" id="{00000000-0008-0000-0600-00004B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5</xdr:col>
      <xdr:colOff>0</xdr:colOff>
      <xdr:row>14</xdr:row>
      <xdr:rowOff>0</xdr:rowOff>
    </xdr:from>
    <xdr:ext cx="381000" cy="381000"/>
    <xdr:pic>
      <xdr:nvPicPr>
        <xdr:cNvPr id="76" name="image21.jpg">
          <a:extLst>
            <a:ext uri="{FF2B5EF4-FFF2-40B4-BE49-F238E27FC236}">
              <a16:creationId xmlns:a16="http://schemas.microsoft.com/office/drawing/2014/main" id="{00000000-0008-0000-0600-00004C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11</xdr:col>
      <xdr:colOff>0</xdr:colOff>
      <xdr:row>14</xdr:row>
      <xdr:rowOff>0</xdr:rowOff>
    </xdr:from>
    <xdr:ext cx="381000" cy="381000"/>
    <xdr:pic>
      <xdr:nvPicPr>
        <xdr:cNvPr id="77" name="image15.jpg">
          <a:extLst>
            <a:ext uri="{FF2B5EF4-FFF2-40B4-BE49-F238E27FC236}">
              <a16:creationId xmlns:a16="http://schemas.microsoft.com/office/drawing/2014/main" id="{00000000-0008-0000-0600-00004D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17</xdr:col>
      <xdr:colOff>0</xdr:colOff>
      <xdr:row>14</xdr:row>
      <xdr:rowOff>0</xdr:rowOff>
    </xdr:from>
    <xdr:ext cx="381000" cy="381000"/>
    <xdr:pic>
      <xdr:nvPicPr>
        <xdr:cNvPr id="78" name="image20.png">
          <a:extLst>
            <a:ext uri="{FF2B5EF4-FFF2-40B4-BE49-F238E27FC236}">
              <a16:creationId xmlns:a16="http://schemas.microsoft.com/office/drawing/2014/main" id="{00000000-0008-0000-0600-00004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15</xdr:row>
      <xdr:rowOff>0</xdr:rowOff>
    </xdr:from>
    <xdr:ext cx="381000" cy="381000"/>
    <xdr:pic>
      <xdr:nvPicPr>
        <xdr:cNvPr id="79" name="image139.jpg">
          <a:extLst>
            <a:ext uri="{FF2B5EF4-FFF2-40B4-BE49-F238E27FC236}">
              <a16:creationId xmlns:a16="http://schemas.microsoft.com/office/drawing/2014/main" id="{00000000-0008-0000-0600-00004F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3</xdr:col>
      <xdr:colOff>0</xdr:colOff>
      <xdr:row>15</xdr:row>
      <xdr:rowOff>0</xdr:rowOff>
    </xdr:from>
    <xdr:ext cx="371475" cy="381000"/>
    <xdr:pic>
      <xdr:nvPicPr>
        <xdr:cNvPr id="80" name="image186.png">
          <a:extLst>
            <a:ext uri="{FF2B5EF4-FFF2-40B4-BE49-F238E27FC236}">
              <a16:creationId xmlns:a16="http://schemas.microsoft.com/office/drawing/2014/main" id="{00000000-0008-0000-0600-000050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4</xdr:col>
      <xdr:colOff>0</xdr:colOff>
      <xdr:row>15</xdr:row>
      <xdr:rowOff>0</xdr:rowOff>
    </xdr:from>
    <xdr:ext cx="381000" cy="381000"/>
    <xdr:pic>
      <xdr:nvPicPr>
        <xdr:cNvPr id="81" name="image178.png">
          <a:extLst>
            <a:ext uri="{FF2B5EF4-FFF2-40B4-BE49-F238E27FC236}">
              <a16:creationId xmlns:a16="http://schemas.microsoft.com/office/drawing/2014/main" id="{00000000-0008-0000-0600-000051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15</xdr:row>
      <xdr:rowOff>0</xdr:rowOff>
    </xdr:from>
    <xdr:ext cx="381000" cy="381000"/>
    <xdr:pic>
      <xdr:nvPicPr>
        <xdr:cNvPr id="82" name="image14.jpg">
          <a:extLst>
            <a:ext uri="{FF2B5EF4-FFF2-40B4-BE49-F238E27FC236}">
              <a16:creationId xmlns:a16="http://schemas.microsoft.com/office/drawing/2014/main" id="{00000000-0008-0000-0600-000052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11</xdr:col>
      <xdr:colOff>0</xdr:colOff>
      <xdr:row>15</xdr:row>
      <xdr:rowOff>0</xdr:rowOff>
    </xdr:from>
    <xdr:ext cx="381000" cy="381000"/>
    <xdr:pic>
      <xdr:nvPicPr>
        <xdr:cNvPr id="83" name="image26.jpg">
          <a:extLst>
            <a:ext uri="{FF2B5EF4-FFF2-40B4-BE49-F238E27FC236}">
              <a16:creationId xmlns:a16="http://schemas.microsoft.com/office/drawing/2014/main" id="{00000000-0008-0000-0600-000053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17</xdr:col>
      <xdr:colOff>0</xdr:colOff>
      <xdr:row>15</xdr:row>
      <xdr:rowOff>0</xdr:rowOff>
    </xdr:from>
    <xdr:ext cx="381000" cy="381000"/>
    <xdr:pic>
      <xdr:nvPicPr>
        <xdr:cNvPr id="84" name="image20.png">
          <a:extLst>
            <a:ext uri="{FF2B5EF4-FFF2-40B4-BE49-F238E27FC236}">
              <a16:creationId xmlns:a16="http://schemas.microsoft.com/office/drawing/2014/main" id="{00000000-0008-0000-0600-000054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16</xdr:row>
      <xdr:rowOff>0</xdr:rowOff>
    </xdr:from>
    <xdr:ext cx="381000" cy="381000"/>
    <xdr:pic>
      <xdr:nvPicPr>
        <xdr:cNvPr id="85" name="image162.jpg">
          <a:extLst>
            <a:ext uri="{FF2B5EF4-FFF2-40B4-BE49-F238E27FC236}">
              <a16:creationId xmlns:a16="http://schemas.microsoft.com/office/drawing/2014/main" id="{00000000-0008-0000-0600-00005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0</xdr:colOff>
      <xdr:row>16</xdr:row>
      <xdr:rowOff>0</xdr:rowOff>
    </xdr:from>
    <xdr:ext cx="381000" cy="381000"/>
    <xdr:pic>
      <xdr:nvPicPr>
        <xdr:cNvPr id="86" name="image154.png">
          <a:extLst>
            <a:ext uri="{FF2B5EF4-FFF2-40B4-BE49-F238E27FC236}">
              <a16:creationId xmlns:a16="http://schemas.microsoft.com/office/drawing/2014/main" id="{00000000-0008-0000-0600-000056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16</xdr:row>
      <xdr:rowOff>0</xdr:rowOff>
    </xdr:from>
    <xdr:ext cx="381000" cy="381000"/>
    <xdr:pic>
      <xdr:nvPicPr>
        <xdr:cNvPr id="87" name="image178.png">
          <a:extLst>
            <a:ext uri="{FF2B5EF4-FFF2-40B4-BE49-F238E27FC236}">
              <a16:creationId xmlns:a16="http://schemas.microsoft.com/office/drawing/2014/main" id="{00000000-0008-0000-0600-000057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16</xdr:row>
      <xdr:rowOff>0</xdr:rowOff>
    </xdr:from>
    <xdr:ext cx="381000" cy="381000"/>
    <xdr:pic>
      <xdr:nvPicPr>
        <xdr:cNvPr id="88" name="image188.jpg">
          <a:extLst>
            <a:ext uri="{FF2B5EF4-FFF2-40B4-BE49-F238E27FC236}">
              <a16:creationId xmlns:a16="http://schemas.microsoft.com/office/drawing/2014/main" id="{00000000-0008-0000-0600-000058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11</xdr:col>
      <xdr:colOff>0</xdr:colOff>
      <xdr:row>16</xdr:row>
      <xdr:rowOff>0</xdr:rowOff>
    </xdr:from>
    <xdr:ext cx="381000" cy="381000"/>
    <xdr:pic>
      <xdr:nvPicPr>
        <xdr:cNvPr id="89" name="image1.jpg">
          <a:extLst>
            <a:ext uri="{FF2B5EF4-FFF2-40B4-BE49-F238E27FC236}">
              <a16:creationId xmlns:a16="http://schemas.microsoft.com/office/drawing/2014/main" id="{00000000-0008-0000-0600-00005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17</xdr:col>
      <xdr:colOff>0</xdr:colOff>
      <xdr:row>16</xdr:row>
      <xdr:rowOff>0</xdr:rowOff>
    </xdr:from>
    <xdr:ext cx="381000" cy="381000"/>
    <xdr:pic>
      <xdr:nvPicPr>
        <xdr:cNvPr id="90" name="image194.jpg">
          <a:extLst>
            <a:ext uri="{FF2B5EF4-FFF2-40B4-BE49-F238E27FC236}">
              <a16:creationId xmlns:a16="http://schemas.microsoft.com/office/drawing/2014/main" id="{00000000-0008-0000-0600-00005A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17</xdr:row>
      <xdr:rowOff>0</xdr:rowOff>
    </xdr:from>
    <xdr:ext cx="381000" cy="381000"/>
    <xdr:pic>
      <xdr:nvPicPr>
        <xdr:cNvPr id="91" name="image201.jpg">
          <a:extLst>
            <a:ext uri="{FF2B5EF4-FFF2-40B4-BE49-F238E27FC236}">
              <a16:creationId xmlns:a16="http://schemas.microsoft.com/office/drawing/2014/main" id="{00000000-0008-0000-0600-00005B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3</xdr:col>
      <xdr:colOff>0</xdr:colOff>
      <xdr:row>17</xdr:row>
      <xdr:rowOff>0</xdr:rowOff>
    </xdr:from>
    <xdr:ext cx="381000" cy="381000"/>
    <xdr:pic>
      <xdr:nvPicPr>
        <xdr:cNvPr id="92" name="image196.png">
          <a:extLst>
            <a:ext uri="{FF2B5EF4-FFF2-40B4-BE49-F238E27FC236}">
              <a16:creationId xmlns:a16="http://schemas.microsoft.com/office/drawing/2014/main" id="{00000000-0008-0000-0600-00005C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4</xdr:col>
      <xdr:colOff>0</xdr:colOff>
      <xdr:row>17</xdr:row>
      <xdr:rowOff>0</xdr:rowOff>
    </xdr:from>
    <xdr:ext cx="381000" cy="381000"/>
    <xdr:pic>
      <xdr:nvPicPr>
        <xdr:cNvPr id="93" name="image195.png">
          <a:extLst>
            <a:ext uri="{FF2B5EF4-FFF2-40B4-BE49-F238E27FC236}">
              <a16:creationId xmlns:a16="http://schemas.microsoft.com/office/drawing/2014/main" id="{00000000-0008-0000-0600-00005D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5</xdr:col>
      <xdr:colOff>0</xdr:colOff>
      <xdr:row>17</xdr:row>
      <xdr:rowOff>0</xdr:rowOff>
    </xdr:from>
    <xdr:ext cx="381000" cy="381000"/>
    <xdr:pic>
      <xdr:nvPicPr>
        <xdr:cNvPr id="94" name="image197.jpg">
          <a:extLst>
            <a:ext uri="{FF2B5EF4-FFF2-40B4-BE49-F238E27FC236}">
              <a16:creationId xmlns:a16="http://schemas.microsoft.com/office/drawing/2014/main" id="{00000000-0008-0000-0600-00005E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11</xdr:col>
      <xdr:colOff>0</xdr:colOff>
      <xdr:row>17</xdr:row>
      <xdr:rowOff>0</xdr:rowOff>
    </xdr:from>
    <xdr:ext cx="381000" cy="381000"/>
    <xdr:pic>
      <xdr:nvPicPr>
        <xdr:cNvPr id="95" name="image191.jpg">
          <a:extLst>
            <a:ext uri="{FF2B5EF4-FFF2-40B4-BE49-F238E27FC236}">
              <a16:creationId xmlns:a16="http://schemas.microsoft.com/office/drawing/2014/main" id="{00000000-0008-0000-0600-00005F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17</xdr:col>
      <xdr:colOff>0</xdr:colOff>
      <xdr:row>17</xdr:row>
      <xdr:rowOff>0</xdr:rowOff>
    </xdr:from>
    <xdr:ext cx="381000" cy="381000"/>
    <xdr:pic>
      <xdr:nvPicPr>
        <xdr:cNvPr id="96" name="image27.jpg">
          <a:extLst>
            <a:ext uri="{FF2B5EF4-FFF2-40B4-BE49-F238E27FC236}">
              <a16:creationId xmlns:a16="http://schemas.microsoft.com/office/drawing/2014/main" id="{00000000-0008-0000-0600-000060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18</xdr:row>
      <xdr:rowOff>0</xdr:rowOff>
    </xdr:from>
    <xdr:ext cx="381000" cy="381000"/>
    <xdr:pic>
      <xdr:nvPicPr>
        <xdr:cNvPr id="97" name="image189.jpg">
          <a:extLst>
            <a:ext uri="{FF2B5EF4-FFF2-40B4-BE49-F238E27FC236}">
              <a16:creationId xmlns:a16="http://schemas.microsoft.com/office/drawing/2014/main" id="{00000000-0008-0000-0600-000061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0</xdr:colOff>
      <xdr:row>18</xdr:row>
      <xdr:rowOff>0</xdr:rowOff>
    </xdr:from>
    <xdr:ext cx="381000" cy="381000"/>
    <xdr:pic>
      <xdr:nvPicPr>
        <xdr:cNvPr id="98" name="image154.png">
          <a:extLst>
            <a:ext uri="{FF2B5EF4-FFF2-40B4-BE49-F238E27FC236}">
              <a16:creationId xmlns:a16="http://schemas.microsoft.com/office/drawing/2014/main" id="{00000000-0008-0000-0600-00006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18</xdr:row>
      <xdr:rowOff>0</xdr:rowOff>
    </xdr:from>
    <xdr:ext cx="381000" cy="381000"/>
    <xdr:pic>
      <xdr:nvPicPr>
        <xdr:cNvPr id="99" name="image179.png">
          <a:extLst>
            <a:ext uri="{FF2B5EF4-FFF2-40B4-BE49-F238E27FC236}">
              <a16:creationId xmlns:a16="http://schemas.microsoft.com/office/drawing/2014/main" id="{00000000-0008-0000-0600-000063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5</xdr:col>
      <xdr:colOff>0</xdr:colOff>
      <xdr:row>18</xdr:row>
      <xdr:rowOff>0</xdr:rowOff>
    </xdr:from>
    <xdr:ext cx="381000" cy="381000"/>
    <xdr:pic>
      <xdr:nvPicPr>
        <xdr:cNvPr id="100" name="image53.jpg">
          <a:extLst>
            <a:ext uri="{FF2B5EF4-FFF2-40B4-BE49-F238E27FC236}">
              <a16:creationId xmlns:a16="http://schemas.microsoft.com/office/drawing/2014/main" id="{00000000-0008-0000-0600-000064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11</xdr:col>
      <xdr:colOff>0</xdr:colOff>
      <xdr:row>18</xdr:row>
      <xdr:rowOff>0</xdr:rowOff>
    </xdr:from>
    <xdr:ext cx="381000" cy="381000"/>
    <xdr:pic>
      <xdr:nvPicPr>
        <xdr:cNvPr id="101" name="image113.jpg">
          <a:extLst>
            <a:ext uri="{FF2B5EF4-FFF2-40B4-BE49-F238E27FC236}">
              <a16:creationId xmlns:a16="http://schemas.microsoft.com/office/drawing/2014/main" id="{00000000-0008-0000-0600-000065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17</xdr:col>
      <xdr:colOff>0</xdr:colOff>
      <xdr:row>18</xdr:row>
      <xdr:rowOff>0</xdr:rowOff>
    </xdr:from>
    <xdr:ext cx="381000" cy="381000"/>
    <xdr:pic>
      <xdr:nvPicPr>
        <xdr:cNvPr id="102" name="image192.jpg">
          <a:extLst>
            <a:ext uri="{FF2B5EF4-FFF2-40B4-BE49-F238E27FC236}">
              <a16:creationId xmlns:a16="http://schemas.microsoft.com/office/drawing/2014/main" id="{00000000-0008-0000-0600-000066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19</xdr:row>
      <xdr:rowOff>0</xdr:rowOff>
    </xdr:from>
    <xdr:ext cx="381000" cy="381000"/>
    <xdr:pic>
      <xdr:nvPicPr>
        <xdr:cNvPr id="103" name="image193.jpg">
          <a:extLst>
            <a:ext uri="{FF2B5EF4-FFF2-40B4-BE49-F238E27FC236}">
              <a16:creationId xmlns:a16="http://schemas.microsoft.com/office/drawing/2014/main" id="{00000000-0008-0000-0600-000067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3</xdr:col>
      <xdr:colOff>0</xdr:colOff>
      <xdr:row>19</xdr:row>
      <xdr:rowOff>0</xdr:rowOff>
    </xdr:from>
    <xdr:ext cx="381000" cy="381000"/>
    <xdr:pic>
      <xdr:nvPicPr>
        <xdr:cNvPr id="104" name="image190.png">
          <a:extLst>
            <a:ext uri="{FF2B5EF4-FFF2-40B4-BE49-F238E27FC236}">
              <a16:creationId xmlns:a16="http://schemas.microsoft.com/office/drawing/2014/main" id="{00000000-0008-0000-0600-000068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5</xdr:col>
      <xdr:colOff>0</xdr:colOff>
      <xdr:row>19</xdr:row>
      <xdr:rowOff>0</xdr:rowOff>
    </xdr:from>
    <xdr:ext cx="381000" cy="381000"/>
    <xdr:pic>
      <xdr:nvPicPr>
        <xdr:cNvPr id="105" name="image200.jpg">
          <a:extLst>
            <a:ext uri="{FF2B5EF4-FFF2-40B4-BE49-F238E27FC236}">
              <a16:creationId xmlns:a16="http://schemas.microsoft.com/office/drawing/2014/main" id="{00000000-0008-0000-0600-000069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11</xdr:col>
      <xdr:colOff>0</xdr:colOff>
      <xdr:row>19</xdr:row>
      <xdr:rowOff>0</xdr:rowOff>
    </xdr:from>
    <xdr:ext cx="381000" cy="381000"/>
    <xdr:pic>
      <xdr:nvPicPr>
        <xdr:cNvPr id="106" name="image177.png">
          <a:extLst>
            <a:ext uri="{FF2B5EF4-FFF2-40B4-BE49-F238E27FC236}">
              <a16:creationId xmlns:a16="http://schemas.microsoft.com/office/drawing/2014/main" id="{00000000-0008-0000-0600-00006A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17</xdr:col>
      <xdr:colOff>0</xdr:colOff>
      <xdr:row>19</xdr:row>
      <xdr:rowOff>0</xdr:rowOff>
    </xdr:from>
    <xdr:ext cx="381000" cy="381000"/>
    <xdr:pic>
      <xdr:nvPicPr>
        <xdr:cNvPr id="107" name="image177.png">
          <a:extLst>
            <a:ext uri="{FF2B5EF4-FFF2-40B4-BE49-F238E27FC236}">
              <a16:creationId xmlns:a16="http://schemas.microsoft.com/office/drawing/2014/main" id="{00000000-0008-0000-0600-00006B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20</xdr:row>
      <xdr:rowOff>0</xdr:rowOff>
    </xdr:from>
    <xdr:ext cx="381000" cy="381000"/>
    <xdr:pic>
      <xdr:nvPicPr>
        <xdr:cNvPr id="108" name="image193.jpg">
          <a:extLst>
            <a:ext uri="{FF2B5EF4-FFF2-40B4-BE49-F238E27FC236}">
              <a16:creationId xmlns:a16="http://schemas.microsoft.com/office/drawing/2014/main" id="{00000000-0008-0000-0600-00006C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3</xdr:col>
      <xdr:colOff>0</xdr:colOff>
      <xdr:row>20</xdr:row>
      <xdr:rowOff>0</xdr:rowOff>
    </xdr:from>
    <xdr:ext cx="381000" cy="381000"/>
    <xdr:pic>
      <xdr:nvPicPr>
        <xdr:cNvPr id="109" name="image190.png">
          <a:extLst>
            <a:ext uri="{FF2B5EF4-FFF2-40B4-BE49-F238E27FC236}">
              <a16:creationId xmlns:a16="http://schemas.microsoft.com/office/drawing/2014/main" id="{00000000-0008-0000-0600-00006D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4</xdr:col>
      <xdr:colOff>0</xdr:colOff>
      <xdr:row>20</xdr:row>
      <xdr:rowOff>0</xdr:rowOff>
    </xdr:from>
    <xdr:ext cx="381000" cy="381000"/>
    <xdr:pic>
      <xdr:nvPicPr>
        <xdr:cNvPr id="110" name="image163.png">
          <a:extLst>
            <a:ext uri="{FF2B5EF4-FFF2-40B4-BE49-F238E27FC236}">
              <a16:creationId xmlns:a16="http://schemas.microsoft.com/office/drawing/2014/main" id="{00000000-0008-0000-0600-00006E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20</xdr:row>
      <xdr:rowOff>0</xdr:rowOff>
    </xdr:from>
    <xdr:ext cx="381000" cy="381000"/>
    <xdr:pic>
      <xdr:nvPicPr>
        <xdr:cNvPr id="111" name="image200.jpg">
          <a:extLst>
            <a:ext uri="{FF2B5EF4-FFF2-40B4-BE49-F238E27FC236}">
              <a16:creationId xmlns:a16="http://schemas.microsoft.com/office/drawing/2014/main" id="{00000000-0008-0000-0600-00006F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11</xdr:col>
      <xdr:colOff>0</xdr:colOff>
      <xdr:row>20</xdr:row>
      <xdr:rowOff>0</xdr:rowOff>
    </xdr:from>
    <xdr:ext cx="381000" cy="381000"/>
    <xdr:pic>
      <xdr:nvPicPr>
        <xdr:cNvPr id="112" name="image1.jpg">
          <a:extLst>
            <a:ext uri="{FF2B5EF4-FFF2-40B4-BE49-F238E27FC236}">
              <a16:creationId xmlns:a16="http://schemas.microsoft.com/office/drawing/2014/main" id="{00000000-0008-0000-0600-000070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17</xdr:col>
      <xdr:colOff>0</xdr:colOff>
      <xdr:row>20</xdr:row>
      <xdr:rowOff>0</xdr:rowOff>
    </xdr:from>
    <xdr:ext cx="381000" cy="381000"/>
    <xdr:pic>
      <xdr:nvPicPr>
        <xdr:cNvPr id="113" name="image120.jpg">
          <a:extLst>
            <a:ext uri="{FF2B5EF4-FFF2-40B4-BE49-F238E27FC236}">
              <a16:creationId xmlns:a16="http://schemas.microsoft.com/office/drawing/2014/main" id="{00000000-0008-0000-0600-000071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21</xdr:row>
      <xdr:rowOff>0</xdr:rowOff>
    </xdr:from>
    <xdr:ext cx="381000" cy="381000"/>
    <xdr:pic>
      <xdr:nvPicPr>
        <xdr:cNvPr id="114" name="image189.jpg">
          <a:extLst>
            <a:ext uri="{FF2B5EF4-FFF2-40B4-BE49-F238E27FC236}">
              <a16:creationId xmlns:a16="http://schemas.microsoft.com/office/drawing/2014/main" id="{00000000-0008-0000-0600-000072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0</xdr:colOff>
      <xdr:row>21</xdr:row>
      <xdr:rowOff>0</xdr:rowOff>
    </xdr:from>
    <xdr:ext cx="381000" cy="381000"/>
    <xdr:pic>
      <xdr:nvPicPr>
        <xdr:cNvPr id="115" name="image153.png">
          <a:extLst>
            <a:ext uri="{FF2B5EF4-FFF2-40B4-BE49-F238E27FC236}">
              <a16:creationId xmlns:a16="http://schemas.microsoft.com/office/drawing/2014/main" id="{00000000-0008-0000-0600-00007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0</xdr:colOff>
      <xdr:row>21</xdr:row>
      <xdr:rowOff>0</xdr:rowOff>
    </xdr:from>
    <xdr:ext cx="381000" cy="381000"/>
    <xdr:pic>
      <xdr:nvPicPr>
        <xdr:cNvPr id="116" name="image163.png">
          <a:extLst>
            <a:ext uri="{FF2B5EF4-FFF2-40B4-BE49-F238E27FC236}">
              <a16:creationId xmlns:a16="http://schemas.microsoft.com/office/drawing/2014/main" id="{00000000-0008-0000-0600-000074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21</xdr:row>
      <xdr:rowOff>0</xdr:rowOff>
    </xdr:from>
    <xdr:ext cx="381000" cy="381000"/>
    <xdr:pic>
      <xdr:nvPicPr>
        <xdr:cNvPr id="117" name="image48.jpg">
          <a:extLst>
            <a:ext uri="{FF2B5EF4-FFF2-40B4-BE49-F238E27FC236}">
              <a16:creationId xmlns:a16="http://schemas.microsoft.com/office/drawing/2014/main" id="{00000000-0008-0000-0600-000075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11</xdr:col>
      <xdr:colOff>0</xdr:colOff>
      <xdr:row>21</xdr:row>
      <xdr:rowOff>0</xdr:rowOff>
    </xdr:from>
    <xdr:ext cx="381000" cy="381000"/>
    <xdr:pic>
      <xdr:nvPicPr>
        <xdr:cNvPr id="118" name="image46.jpg">
          <a:extLst>
            <a:ext uri="{FF2B5EF4-FFF2-40B4-BE49-F238E27FC236}">
              <a16:creationId xmlns:a16="http://schemas.microsoft.com/office/drawing/2014/main" id="{00000000-0008-0000-0600-000076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17</xdr:col>
      <xdr:colOff>0</xdr:colOff>
      <xdr:row>21</xdr:row>
      <xdr:rowOff>0</xdr:rowOff>
    </xdr:from>
    <xdr:ext cx="381000" cy="381000"/>
    <xdr:pic>
      <xdr:nvPicPr>
        <xdr:cNvPr id="119" name="image22.jpg">
          <a:extLst>
            <a:ext uri="{FF2B5EF4-FFF2-40B4-BE49-F238E27FC236}">
              <a16:creationId xmlns:a16="http://schemas.microsoft.com/office/drawing/2014/main" id="{00000000-0008-0000-0600-000077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22</xdr:row>
      <xdr:rowOff>0</xdr:rowOff>
    </xdr:from>
    <xdr:ext cx="381000" cy="381000"/>
    <xdr:pic>
      <xdr:nvPicPr>
        <xdr:cNvPr id="120" name="image202.jpg">
          <a:extLst>
            <a:ext uri="{FF2B5EF4-FFF2-40B4-BE49-F238E27FC236}">
              <a16:creationId xmlns:a16="http://schemas.microsoft.com/office/drawing/2014/main" id="{00000000-0008-0000-0600-000078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3</xdr:col>
      <xdr:colOff>0</xdr:colOff>
      <xdr:row>22</xdr:row>
      <xdr:rowOff>0</xdr:rowOff>
    </xdr:from>
    <xdr:ext cx="381000" cy="381000"/>
    <xdr:pic>
      <xdr:nvPicPr>
        <xdr:cNvPr id="121" name="image220.png">
          <a:extLst>
            <a:ext uri="{FF2B5EF4-FFF2-40B4-BE49-F238E27FC236}">
              <a16:creationId xmlns:a16="http://schemas.microsoft.com/office/drawing/2014/main" id="{00000000-0008-0000-0600-000079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4</xdr:col>
      <xdr:colOff>0</xdr:colOff>
      <xdr:row>22</xdr:row>
      <xdr:rowOff>0</xdr:rowOff>
    </xdr:from>
    <xdr:ext cx="381000" cy="381000"/>
    <xdr:pic>
      <xdr:nvPicPr>
        <xdr:cNvPr id="122" name="image178.png">
          <a:extLst>
            <a:ext uri="{FF2B5EF4-FFF2-40B4-BE49-F238E27FC236}">
              <a16:creationId xmlns:a16="http://schemas.microsoft.com/office/drawing/2014/main" id="{00000000-0008-0000-0600-00007A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22</xdr:row>
      <xdr:rowOff>0</xdr:rowOff>
    </xdr:from>
    <xdr:ext cx="381000" cy="381000"/>
    <xdr:pic>
      <xdr:nvPicPr>
        <xdr:cNvPr id="123" name="image36.jpg">
          <a:extLst>
            <a:ext uri="{FF2B5EF4-FFF2-40B4-BE49-F238E27FC236}">
              <a16:creationId xmlns:a16="http://schemas.microsoft.com/office/drawing/2014/main" id="{00000000-0008-0000-0600-00007B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11</xdr:col>
      <xdr:colOff>0</xdr:colOff>
      <xdr:row>22</xdr:row>
      <xdr:rowOff>0</xdr:rowOff>
    </xdr:from>
    <xdr:ext cx="381000" cy="381000"/>
    <xdr:pic>
      <xdr:nvPicPr>
        <xdr:cNvPr id="124" name="image17.jpg">
          <a:extLst>
            <a:ext uri="{FF2B5EF4-FFF2-40B4-BE49-F238E27FC236}">
              <a16:creationId xmlns:a16="http://schemas.microsoft.com/office/drawing/2014/main" id="{00000000-0008-0000-0600-00007C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17</xdr:col>
      <xdr:colOff>0</xdr:colOff>
      <xdr:row>22</xdr:row>
      <xdr:rowOff>0</xdr:rowOff>
    </xdr:from>
    <xdr:ext cx="381000" cy="381000"/>
    <xdr:pic>
      <xdr:nvPicPr>
        <xdr:cNvPr id="125" name="image20.png">
          <a:extLst>
            <a:ext uri="{FF2B5EF4-FFF2-40B4-BE49-F238E27FC236}">
              <a16:creationId xmlns:a16="http://schemas.microsoft.com/office/drawing/2014/main" id="{00000000-0008-0000-0600-00007D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23</xdr:row>
      <xdr:rowOff>0</xdr:rowOff>
    </xdr:from>
    <xdr:ext cx="381000" cy="381000"/>
    <xdr:pic>
      <xdr:nvPicPr>
        <xdr:cNvPr id="126" name="image199.jpg">
          <a:extLst>
            <a:ext uri="{FF2B5EF4-FFF2-40B4-BE49-F238E27FC236}">
              <a16:creationId xmlns:a16="http://schemas.microsoft.com/office/drawing/2014/main" id="{00000000-0008-0000-0600-00007E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3</xdr:col>
      <xdr:colOff>0</xdr:colOff>
      <xdr:row>23</xdr:row>
      <xdr:rowOff>0</xdr:rowOff>
    </xdr:from>
    <xdr:ext cx="381000" cy="381000"/>
    <xdr:pic>
      <xdr:nvPicPr>
        <xdr:cNvPr id="127" name="image153.png">
          <a:extLst>
            <a:ext uri="{FF2B5EF4-FFF2-40B4-BE49-F238E27FC236}">
              <a16:creationId xmlns:a16="http://schemas.microsoft.com/office/drawing/2014/main" id="{00000000-0008-0000-0600-00007F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0</xdr:colOff>
      <xdr:row>23</xdr:row>
      <xdr:rowOff>0</xdr:rowOff>
    </xdr:from>
    <xdr:ext cx="381000" cy="381000"/>
    <xdr:pic>
      <xdr:nvPicPr>
        <xdr:cNvPr id="128" name="image179.png">
          <a:extLst>
            <a:ext uri="{FF2B5EF4-FFF2-40B4-BE49-F238E27FC236}">
              <a16:creationId xmlns:a16="http://schemas.microsoft.com/office/drawing/2014/main" id="{00000000-0008-0000-0600-00008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5</xdr:col>
      <xdr:colOff>0</xdr:colOff>
      <xdr:row>23</xdr:row>
      <xdr:rowOff>0</xdr:rowOff>
    </xdr:from>
    <xdr:ext cx="381000" cy="381000"/>
    <xdr:pic>
      <xdr:nvPicPr>
        <xdr:cNvPr id="129" name="image188.jpg">
          <a:extLst>
            <a:ext uri="{FF2B5EF4-FFF2-40B4-BE49-F238E27FC236}">
              <a16:creationId xmlns:a16="http://schemas.microsoft.com/office/drawing/2014/main" id="{00000000-0008-0000-0600-000081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11</xdr:col>
      <xdr:colOff>0</xdr:colOff>
      <xdr:row>23</xdr:row>
      <xdr:rowOff>0</xdr:rowOff>
    </xdr:from>
    <xdr:ext cx="381000" cy="381000"/>
    <xdr:pic>
      <xdr:nvPicPr>
        <xdr:cNvPr id="130" name="image17.jpg">
          <a:extLst>
            <a:ext uri="{FF2B5EF4-FFF2-40B4-BE49-F238E27FC236}">
              <a16:creationId xmlns:a16="http://schemas.microsoft.com/office/drawing/2014/main" id="{00000000-0008-0000-0600-000082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17</xdr:col>
      <xdr:colOff>0</xdr:colOff>
      <xdr:row>23</xdr:row>
      <xdr:rowOff>0</xdr:rowOff>
    </xdr:from>
    <xdr:ext cx="381000" cy="381000"/>
    <xdr:pic>
      <xdr:nvPicPr>
        <xdr:cNvPr id="131" name="image22.jpg">
          <a:extLst>
            <a:ext uri="{FF2B5EF4-FFF2-40B4-BE49-F238E27FC236}">
              <a16:creationId xmlns:a16="http://schemas.microsoft.com/office/drawing/2014/main" id="{00000000-0008-0000-0600-000083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24</xdr:row>
      <xdr:rowOff>0</xdr:rowOff>
    </xdr:from>
    <xdr:ext cx="381000" cy="381000"/>
    <xdr:pic>
      <xdr:nvPicPr>
        <xdr:cNvPr id="132" name="image202.jpg">
          <a:extLst>
            <a:ext uri="{FF2B5EF4-FFF2-40B4-BE49-F238E27FC236}">
              <a16:creationId xmlns:a16="http://schemas.microsoft.com/office/drawing/2014/main" id="{00000000-0008-0000-0600-000084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3</xdr:col>
      <xdr:colOff>0</xdr:colOff>
      <xdr:row>24</xdr:row>
      <xdr:rowOff>0</xdr:rowOff>
    </xdr:from>
    <xdr:ext cx="381000" cy="381000"/>
    <xdr:pic>
      <xdr:nvPicPr>
        <xdr:cNvPr id="133" name="image220.png">
          <a:extLst>
            <a:ext uri="{FF2B5EF4-FFF2-40B4-BE49-F238E27FC236}">
              <a16:creationId xmlns:a16="http://schemas.microsoft.com/office/drawing/2014/main" id="{00000000-0008-0000-0600-000085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4</xdr:col>
      <xdr:colOff>0</xdr:colOff>
      <xdr:row>24</xdr:row>
      <xdr:rowOff>0</xdr:rowOff>
    </xdr:from>
    <xdr:ext cx="381000" cy="381000"/>
    <xdr:pic>
      <xdr:nvPicPr>
        <xdr:cNvPr id="134" name="image195.png">
          <a:extLst>
            <a:ext uri="{FF2B5EF4-FFF2-40B4-BE49-F238E27FC236}">
              <a16:creationId xmlns:a16="http://schemas.microsoft.com/office/drawing/2014/main" id="{00000000-0008-0000-0600-000086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5</xdr:col>
      <xdr:colOff>0</xdr:colOff>
      <xdr:row>24</xdr:row>
      <xdr:rowOff>0</xdr:rowOff>
    </xdr:from>
    <xdr:ext cx="381000" cy="381000"/>
    <xdr:pic>
      <xdr:nvPicPr>
        <xdr:cNvPr id="135" name="image80.jpg">
          <a:extLst>
            <a:ext uri="{FF2B5EF4-FFF2-40B4-BE49-F238E27FC236}">
              <a16:creationId xmlns:a16="http://schemas.microsoft.com/office/drawing/2014/main" id="{00000000-0008-0000-0600-000087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11</xdr:col>
      <xdr:colOff>0</xdr:colOff>
      <xdr:row>24</xdr:row>
      <xdr:rowOff>0</xdr:rowOff>
    </xdr:from>
    <xdr:ext cx="381000" cy="381000"/>
    <xdr:pic>
      <xdr:nvPicPr>
        <xdr:cNvPr id="136" name="image211.jpg">
          <a:extLst>
            <a:ext uri="{FF2B5EF4-FFF2-40B4-BE49-F238E27FC236}">
              <a16:creationId xmlns:a16="http://schemas.microsoft.com/office/drawing/2014/main" id="{00000000-0008-0000-0600-000088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17</xdr:col>
      <xdr:colOff>0</xdr:colOff>
      <xdr:row>24</xdr:row>
      <xdr:rowOff>0</xdr:rowOff>
    </xdr:from>
    <xdr:ext cx="381000" cy="381000"/>
    <xdr:pic>
      <xdr:nvPicPr>
        <xdr:cNvPr id="137" name="image27.jpg">
          <a:extLst>
            <a:ext uri="{FF2B5EF4-FFF2-40B4-BE49-F238E27FC236}">
              <a16:creationId xmlns:a16="http://schemas.microsoft.com/office/drawing/2014/main" id="{00000000-0008-0000-0600-000089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25</xdr:row>
      <xdr:rowOff>0</xdr:rowOff>
    </xdr:from>
    <xdr:ext cx="381000" cy="381000"/>
    <xdr:pic>
      <xdr:nvPicPr>
        <xdr:cNvPr id="138" name="image189.jpg">
          <a:extLst>
            <a:ext uri="{FF2B5EF4-FFF2-40B4-BE49-F238E27FC236}">
              <a16:creationId xmlns:a16="http://schemas.microsoft.com/office/drawing/2014/main" id="{00000000-0008-0000-0600-00008A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0</xdr:colOff>
      <xdr:row>25</xdr:row>
      <xdr:rowOff>0</xdr:rowOff>
    </xdr:from>
    <xdr:ext cx="381000" cy="381000"/>
    <xdr:pic>
      <xdr:nvPicPr>
        <xdr:cNvPr id="139" name="image153.png">
          <a:extLst>
            <a:ext uri="{FF2B5EF4-FFF2-40B4-BE49-F238E27FC236}">
              <a16:creationId xmlns:a16="http://schemas.microsoft.com/office/drawing/2014/main" id="{00000000-0008-0000-0600-00008B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0</xdr:colOff>
      <xdr:row>25</xdr:row>
      <xdr:rowOff>0</xdr:rowOff>
    </xdr:from>
    <xdr:ext cx="381000" cy="381000"/>
    <xdr:pic>
      <xdr:nvPicPr>
        <xdr:cNvPr id="140" name="image195.png">
          <a:extLst>
            <a:ext uri="{FF2B5EF4-FFF2-40B4-BE49-F238E27FC236}">
              <a16:creationId xmlns:a16="http://schemas.microsoft.com/office/drawing/2014/main" id="{00000000-0008-0000-0600-00008C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5</xdr:col>
      <xdr:colOff>0</xdr:colOff>
      <xdr:row>25</xdr:row>
      <xdr:rowOff>0</xdr:rowOff>
    </xdr:from>
    <xdr:ext cx="381000" cy="381000"/>
    <xdr:pic>
      <xdr:nvPicPr>
        <xdr:cNvPr id="141" name="image197.jpg">
          <a:extLst>
            <a:ext uri="{FF2B5EF4-FFF2-40B4-BE49-F238E27FC236}">
              <a16:creationId xmlns:a16="http://schemas.microsoft.com/office/drawing/2014/main" id="{00000000-0008-0000-0600-00008D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11</xdr:col>
      <xdr:colOff>0</xdr:colOff>
      <xdr:row>25</xdr:row>
      <xdr:rowOff>0</xdr:rowOff>
    </xdr:from>
    <xdr:ext cx="381000" cy="381000"/>
    <xdr:pic>
      <xdr:nvPicPr>
        <xdr:cNvPr id="142" name="image212.jpg">
          <a:extLst>
            <a:ext uri="{FF2B5EF4-FFF2-40B4-BE49-F238E27FC236}">
              <a16:creationId xmlns:a16="http://schemas.microsoft.com/office/drawing/2014/main" id="{00000000-0008-0000-0600-00008E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17</xdr:col>
      <xdr:colOff>0</xdr:colOff>
      <xdr:row>25</xdr:row>
      <xdr:rowOff>0</xdr:rowOff>
    </xdr:from>
    <xdr:ext cx="381000" cy="381000"/>
    <xdr:pic>
      <xdr:nvPicPr>
        <xdr:cNvPr id="143" name="image11.jpg">
          <a:extLst>
            <a:ext uri="{FF2B5EF4-FFF2-40B4-BE49-F238E27FC236}">
              <a16:creationId xmlns:a16="http://schemas.microsoft.com/office/drawing/2014/main" id="{00000000-0008-0000-0600-00008F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26</xdr:row>
      <xdr:rowOff>0</xdr:rowOff>
    </xdr:from>
    <xdr:ext cx="381000" cy="381000"/>
    <xdr:pic>
      <xdr:nvPicPr>
        <xdr:cNvPr id="144" name="image201.jpg">
          <a:extLst>
            <a:ext uri="{FF2B5EF4-FFF2-40B4-BE49-F238E27FC236}">
              <a16:creationId xmlns:a16="http://schemas.microsoft.com/office/drawing/2014/main" id="{00000000-0008-0000-0600-000090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3</xdr:col>
      <xdr:colOff>0</xdr:colOff>
      <xdr:row>26</xdr:row>
      <xdr:rowOff>0</xdr:rowOff>
    </xdr:from>
    <xdr:ext cx="381000" cy="381000"/>
    <xdr:pic>
      <xdr:nvPicPr>
        <xdr:cNvPr id="145" name="image196.png">
          <a:extLst>
            <a:ext uri="{FF2B5EF4-FFF2-40B4-BE49-F238E27FC236}">
              <a16:creationId xmlns:a16="http://schemas.microsoft.com/office/drawing/2014/main" id="{00000000-0008-0000-0600-000091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4</xdr:col>
      <xdr:colOff>0</xdr:colOff>
      <xdr:row>26</xdr:row>
      <xdr:rowOff>0</xdr:rowOff>
    </xdr:from>
    <xdr:ext cx="381000" cy="381000"/>
    <xdr:pic>
      <xdr:nvPicPr>
        <xdr:cNvPr id="146" name="image195.png">
          <a:extLst>
            <a:ext uri="{FF2B5EF4-FFF2-40B4-BE49-F238E27FC236}">
              <a16:creationId xmlns:a16="http://schemas.microsoft.com/office/drawing/2014/main" id="{00000000-0008-0000-0600-000092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5</xdr:col>
      <xdr:colOff>0</xdr:colOff>
      <xdr:row>26</xdr:row>
      <xdr:rowOff>0</xdr:rowOff>
    </xdr:from>
    <xdr:ext cx="381000" cy="381000"/>
    <xdr:pic>
      <xdr:nvPicPr>
        <xdr:cNvPr id="147" name="image197.jpg">
          <a:extLst>
            <a:ext uri="{FF2B5EF4-FFF2-40B4-BE49-F238E27FC236}">
              <a16:creationId xmlns:a16="http://schemas.microsoft.com/office/drawing/2014/main" id="{00000000-0008-0000-0600-000093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11</xdr:col>
      <xdr:colOff>0</xdr:colOff>
      <xdr:row>26</xdr:row>
      <xdr:rowOff>0</xdr:rowOff>
    </xdr:from>
    <xdr:ext cx="381000" cy="381000"/>
    <xdr:pic>
      <xdr:nvPicPr>
        <xdr:cNvPr id="148" name="image212.jpg">
          <a:extLst>
            <a:ext uri="{FF2B5EF4-FFF2-40B4-BE49-F238E27FC236}">
              <a16:creationId xmlns:a16="http://schemas.microsoft.com/office/drawing/2014/main" id="{00000000-0008-0000-0600-000094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17</xdr:col>
      <xdr:colOff>0</xdr:colOff>
      <xdr:row>26</xdr:row>
      <xdr:rowOff>0</xdr:rowOff>
    </xdr:from>
    <xdr:ext cx="381000" cy="381000"/>
    <xdr:pic>
      <xdr:nvPicPr>
        <xdr:cNvPr id="149" name="image11.jpg">
          <a:extLst>
            <a:ext uri="{FF2B5EF4-FFF2-40B4-BE49-F238E27FC236}">
              <a16:creationId xmlns:a16="http://schemas.microsoft.com/office/drawing/2014/main" id="{00000000-0008-0000-0600-000095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27</xdr:row>
      <xdr:rowOff>0</xdr:rowOff>
    </xdr:from>
    <xdr:ext cx="381000" cy="381000"/>
    <xdr:pic>
      <xdr:nvPicPr>
        <xdr:cNvPr id="150" name="image201.jpg">
          <a:extLst>
            <a:ext uri="{FF2B5EF4-FFF2-40B4-BE49-F238E27FC236}">
              <a16:creationId xmlns:a16="http://schemas.microsoft.com/office/drawing/2014/main" id="{00000000-0008-0000-0600-000096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3</xdr:col>
      <xdr:colOff>0</xdr:colOff>
      <xdr:row>27</xdr:row>
      <xdr:rowOff>0</xdr:rowOff>
    </xdr:from>
    <xdr:ext cx="371475" cy="381000"/>
    <xdr:pic>
      <xdr:nvPicPr>
        <xdr:cNvPr id="151" name="image186.png">
          <a:extLst>
            <a:ext uri="{FF2B5EF4-FFF2-40B4-BE49-F238E27FC236}">
              <a16:creationId xmlns:a16="http://schemas.microsoft.com/office/drawing/2014/main" id="{00000000-0008-0000-0600-000097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4</xdr:col>
      <xdr:colOff>0</xdr:colOff>
      <xdr:row>27</xdr:row>
      <xdr:rowOff>0</xdr:rowOff>
    </xdr:from>
    <xdr:ext cx="381000" cy="381000"/>
    <xdr:pic>
      <xdr:nvPicPr>
        <xdr:cNvPr id="152" name="image204.png">
          <a:extLst>
            <a:ext uri="{FF2B5EF4-FFF2-40B4-BE49-F238E27FC236}">
              <a16:creationId xmlns:a16="http://schemas.microsoft.com/office/drawing/2014/main" id="{00000000-0008-0000-0600-000098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5</xdr:col>
      <xdr:colOff>0</xdr:colOff>
      <xdr:row>27</xdr:row>
      <xdr:rowOff>0</xdr:rowOff>
    </xdr:from>
    <xdr:ext cx="381000" cy="381000"/>
    <xdr:pic>
      <xdr:nvPicPr>
        <xdr:cNvPr id="153" name="image53.jpg">
          <a:extLst>
            <a:ext uri="{FF2B5EF4-FFF2-40B4-BE49-F238E27FC236}">
              <a16:creationId xmlns:a16="http://schemas.microsoft.com/office/drawing/2014/main" id="{00000000-0008-0000-0600-000099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11</xdr:col>
      <xdr:colOff>0</xdr:colOff>
      <xdr:row>27</xdr:row>
      <xdr:rowOff>0</xdr:rowOff>
    </xdr:from>
    <xdr:ext cx="381000" cy="381000"/>
    <xdr:pic>
      <xdr:nvPicPr>
        <xdr:cNvPr id="154" name="image30.jpg">
          <a:extLst>
            <a:ext uri="{FF2B5EF4-FFF2-40B4-BE49-F238E27FC236}">
              <a16:creationId xmlns:a16="http://schemas.microsoft.com/office/drawing/2014/main" id="{00000000-0008-0000-0600-00009A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17</xdr:col>
      <xdr:colOff>0</xdr:colOff>
      <xdr:row>27</xdr:row>
      <xdr:rowOff>0</xdr:rowOff>
    </xdr:from>
    <xdr:ext cx="381000" cy="381000"/>
    <xdr:pic>
      <xdr:nvPicPr>
        <xdr:cNvPr id="155" name="image27.jpg">
          <a:extLst>
            <a:ext uri="{FF2B5EF4-FFF2-40B4-BE49-F238E27FC236}">
              <a16:creationId xmlns:a16="http://schemas.microsoft.com/office/drawing/2014/main" id="{00000000-0008-0000-0600-00009B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28</xdr:row>
      <xdr:rowOff>0</xdr:rowOff>
    </xdr:from>
    <xdr:ext cx="381000" cy="381000"/>
    <xdr:pic>
      <xdr:nvPicPr>
        <xdr:cNvPr id="156" name="image181.jpg">
          <a:extLst>
            <a:ext uri="{FF2B5EF4-FFF2-40B4-BE49-F238E27FC236}">
              <a16:creationId xmlns:a16="http://schemas.microsoft.com/office/drawing/2014/main" id="{00000000-0008-0000-0600-00009C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3</xdr:col>
      <xdr:colOff>0</xdr:colOff>
      <xdr:row>28</xdr:row>
      <xdr:rowOff>0</xdr:rowOff>
    </xdr:from>
    <xdr:ext cx="381000" cy="381000"/>
    <xdr:pic>
      <xdr:nvPicPr>
        <xdr:cNvPr id="157" name="image154.png">
          <a:extLst>
            <a:ext uri="{FF2B5EF4-FFF2-40B4-BE49-F238E27FC236}">
              <a16:creationId xmlns:a16="http://schemas.microsoft.com/office/drawing/2014/main" id="{00000000-0008-0000-0600-00009D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28</xdr:row>
      <xdr:rowOff>0</xdr:rowOff>
    </xdr:from>
    <xdr:ext cx="381000" cy="381000"/>
    <xdr:pic>
      <xdr:nvPicPr>
        <xdr:cNvPr id="158" name="image178.png">
          <a:extLst>
            <a:ext uri="{FF2B5EF4-FFF2-40B4-BE49-F238E27FC236}">
              <a16:creationId xmlns:a16="http://schemas.microsoft.com/office/drawing/2014/main" id="{00000000-0008-0000-0600-00009E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28</xdr:row>
      <xdr:rowOff>0</xdr:rowOff>
    </xdr:from>
    <xdr:ext cx="381000" cy="381000"/>
    <xdr:pic>
      <xdr:nvPicPr>
        <xdr:cNvPr id="159" name="image49.jpg">
          <a:extLst>
            <a:ext uri="{FF2B5EF4-FFF2-40B4-BE49-F238E27FC236}">
              <a16:creationId xmlns:a16="http://schemas.microsoft.com/office/drawing/2014/main" id="{00000000-0008-0000-0600-00009F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11</xdr:col>
      <xdr:colOff>0</xdr:colOff>
      <xdr:row>28</xdr:row>
      <xdr:rowOff>0</xdr:rowOff>
    </xdr:from>
    <xdr:ext cx="381000" cy="381000"/>
    <xdr:pic>
      <xdr:nvPicPr>
        <xdr:cNvPr id="160" name="image26.jpg">
          <a:extLst>
            <a:ext uri="{FF2B5EF4-FFF2-40B4-BE49-F238E27FC236}">
              <a16:creationId xmlns:a16="http://schemas.microsoft.com/office/drawing/2014/main" id="{00000000-0008-0000-0600-0000A0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17</xdr:col>
      <xdr:colOff>0</xdr:colOff>
      <xdr:row>28</xdr:row>
      <xdr:rowOff>0</xdr:rowOff>
    </xdr:from>
    <xdr:ext cx="381000" cy="381000"/>
    <xdr:pic>
      <xdr:nvPicPr>
        <xdr:cNvPr id="161" name="image205.jpg">
          <a:extLst>
            <a:ext uri="{FF2B5EF4-FFF2-40B4-BE49-F238E27FC236}">
              <a16:creationId xmlns:a16="http://schemas.microsoft.com/office/drawing/2014/main" id="{00000000-0008-0000-0600-0000A1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2</xdr:col>
      <xdr:colOff>0</xdr:colOff>
      <xdr:row>1</xdr:row>
      <xdr:rowOff>0</xdr:rowOff>
    </xdr:from>
    <xdr:ext cx="476250" cy="476250"/>
    <xdr:pic>
      <xdr:nvPicPr>
        <xdr:cNvPr id="2" name="image232.jpg">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xdr:row>
      <xdr:rowOff>0</xdr:rowOff>
    </xdr:from>
    <xdr:ext cx="476250" cy="476250"/>
    <xdr:pic>
      <xdr:nvPicPr>
        <xdr:cNvPr id="3" name="image210.png">
          <a:extLst>
            <a:ext uri="{FF2B5EF4-FFF2-40B4-BE49-F238E27FC236}">
              <a16:creationId xmlns:a16="http://schemas.microsoft.com/office/drawing/2014/main" id="{00000000-0008-0000-07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3</xdr:row>
      <xdr:rowOff>0</xdr:rowOff>
    </xdr:from>
    <xdr:ext cx="476250" cy="476250"/>
    <xdr:pic>
      <xdr:nvPicPr>
        <xdr:cNvPr id="4" name="image20.png">
          <a:extLst>
            <a:ext uri="{FF2B5EF4-FFF2-40B4-BE49-F238E27FC236}">
              <a16:creationId xmlns:a16="http://schemas.microsoft.com/office/drawing/2014/main" id="{00000000-0008-0000-07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xdr:row>
      <xdr:rowOff>0</xdr:rowOff>
    </xdr:from>
    <xdr:ext cx="476250" cy="476250"/>
    <xdr:pic>
      <xdr:nvPicPr>
        <xdr:cNvPr id="5" name="image78.jpg">
          <a:extLst>
            <a:ext uri="{FF2B5EF4-FFF2-40B4-BE49-F238E27FC236}">
              <a16:creationId xmlns:a16="http://schemas.microsoft.com/office/drawing/2014/main" id="{00000000-0008-0000-07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5</xdr:row>
      <xdr:rowOff>0</xdr:rowOff>
    </xdr:from>
    <xdr:ext cx="476250" cy="476250"/>
    <xdr:pic>
      <xdr:nvPicPr>
        <xdr:cNvPr id="6" name="image1.jpg">
          <a:extLst>
            <a:ext uri="{FF2B5EF4-FFF2-40B4-BE49-F238E27FC236}">
              <a16:creationId xmlns:a16="http://schemas.microsoft.com/office/drawing/2014/main" id="{00000000-0008-0000-07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6</xdr:row>
      <xdr:rowOff>0</xdr:rowOff>
    </xdr:from>
    <xdr:ext cx="476250" cy="476250"/>
    <xdr:pic>
      <xdr:nvPicPr>
        <xdr:cNvPr id="7" name="image34.jpg">
          <a:extLst>
            <a:ext uri="{FF2B5EF4-FFF2-40B4-BE49-F238E27FC236}">
              <a16:creationId xmlns:a16="http://schemas.microsoft.com/office/drawing/2014/main" id="{00000000-0008-0000-07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7</xdr:row>
      <xdr:rowOff>0</xdr:rowOff>
    </xdr:from>
    <xdr:ext cx="476250" cy="476250"/>
    <xdr:pic>
      <xdr:nvPicPr>
        <xdr:cNvPr id="8" name="image8.jpg">
          <a:extLst>
            <a:ext uri="{FF2B5EF4-FFF2-40B4-BE49-F238E27FC236}">
              <a16:creationId xmlns:a16="http://schemas.microsoft.com/office/drawing/2014/main" id="{00000000-0008-0000-07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0</xdr:colOff>
      <xdr:row>8</xdr:row>
      <xdr:rowOff>0</xdr:rowOff>
    </xdr:from>
    <xdr:ext cx="476250" cy="476250"/>
    <xdr:pic>
      <xdr:nvPicPr>
        <xdr:cNvPr id="9" name="image210.png">
          <a:extLst>
            <a:ext uri="{FF2B5EF4-FFF2-40B4-BE49-F238E27FC236}">
              <a16:creationId xmlns:a16="http://schemas.microsoft.com/office/drawing/2014/main" id="{00000000-0008-0000-0700-00000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9</xdr:row>
      <xdr:rowOff>0</xdr:rowOff>
    </xdr:from>
    <xdr:ext cx="476250" cy="476250"/>
    <xdr:pic>
      <xdr:nvPicPr>
        <xdr:cNvPr id="10" name="image20.png">
          <a:extLst>
            <a:ext uri="{FF2B5EF4-FFF2-40B4-BE49-F238E27FC236}">
              <a16:creationId xmlns:a16="http://schemas.microsoft.com/office/drawing/2014/main" id="{00000000-0008-0000-0700-00000A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10</xdr:row>
      <xdr:rowOff>0</xdr:rowOff>
    </xdr:from>
    <xdr:ext cx="476250" cy="476250"/>
    <xdr:pic>
      <xdr:nvPicPr>
        <xdr:cNvPr id="11" name="image203.jpg">
          <a:extLst>
            <a:ext uri="{FF2B5EF4-FFF2-40B4-BE49-F238E27FC236}">
              <a16:creationId xmlns:a16="http://schemas.microsoft.com/office/drawing/2014/main" id="{00000000-0008-0000-0700-00000B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11</xdr:row>
      <xdr:rowOff>0</xdr:rowOff>
    </xdr:from>
    <xdr:ext cx="476250" cy="476250"/>
    <xdr:pic>
      <xdr:nvPicPr>
        <xdr:cNvPr id="12" name="image35.jpg">
          <a:extLst>
            <a:ext uri="{FF2B5EF4-FFF2-40B4-BE49-F238E27FC236}">
              <a16:creationId xmlns:a16="http://schemas.microsoft.com/office/drawing/2014/main" id="{00000000-0008-0000-0700-00000C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12</xdr:row>
      <xdr:rowOff>0</xdr:rowOff>
    </xdr:from>
    <xdr:ext cx="476250" cy="476250"/>
    <xdr:pic>
      <xdr:nvPicPr>
        <xdr:cNvPr id="13" name="image36.jpg">
          <a:extLst>
            <a:ext uri="{FF2B5EF4-FFF2-40B4-BE49-F238E27FC236}">
              <a16:creationId xmlns:a16="http://schemas.microsoft.com/office/drawing/2014/main" id="{00000000-0008-0000-0700-00000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13</xdr:row>
      <xdr:rowOff>0</xdr:rowOff>
    </xdr:from>
    <xdr:ext cx="476250" cy="476250"/>
    <xdr:pic>
      <xdr:nvPicPr>
        <xdr:cNvPr id="14" name="image71.jpg">
          <a:extLst>
            <a:ext uri="{FF2B5EF4-FFF2-40B4-BE49-F238E27FC236}">
              <a16:creationId xmlns:a16="http://schemas.microsoft.com/office/drawing/2014/main" id="{00000000-0008-0000-0700-00000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14</xdr:row>
      <xdr:rowOff>0</xdr:rowOff>
    </xdr:from>
    <xdr:ext cx="476250" cy="476250"/>
    <xdr:pic>
      <xdr:nvPicPr>
        <xdr:cNvPr id="15" name="image34.jpg">
          <a:extLst>
            <a:ext uri="{FF2B5EF4-FFF2-40B4-BE49-F238E27FC236}">
              <a16:creationId xmlns:a16="http://schemas.microsoft.com/office/drawing/2014/main" id="{00000000-0008-0000-0700-00000F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15</xdr:row>
      <xdr:rowOff>0</xdr:rowOff>
    </xdr:from>
    <xdr:ext cx="476250" cy="476250"/>
    <xdr:pic>
      <xdr:nvPicPr>
        <xdr:cNvPr id="16" name="image20.png">
          <a:extLst>
            <a:ext uri="{FF2B5EF4-FFF2-40B4-BE49-F238E27FC236}">
              <a16:creationId xmlns:a16="http://schemas.microsoft.com/office/drawing/2014/main" id="{00000000-0008-0000-0700-00001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16</xdr:row>
      <xdr:rowOff>0</xdr:rowOff>
    </xdr:from>
    <xdr:ext cx="476250" cy="476250"/>
    <xdr:pic>
      <xdr:nvPicPr>
        <xdr:cNvPr id="17" name="image1.jpg">
          <a:extLst>
            <a:ext uri="{FF2B5EF4-FFF2-40B4-BE49-F238E27FC236}">
              <a16:creationId xmlns:a16="http://schemas.microsoft.com/office/drawing/2014/main" id="{00000000-0008-0000-0700-000011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17</xdr:row>
      <xdr:rowOff>0</xdr:rowOff>
    </xdr:from>
    <xdr:ext cx="476250" cy="476250"/>
    <xdr:pic>
      <xdr:nvPicPr>
        <xdr:cNvPr id="18" name="image180.jpg">
          <a:extLst>
            <a:ext uri="{FF2B5EF4-FFF2-40B4-BE49-F238E27FC236}">
              <a16:creationId xmlns:a16="http://schemas.microsoft.com/office/drawing/2014/main" id="{00000000-0008-0000-0700-000012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18</xdr:row>
      <xdr:rowOff>0</xdr:rowOff>
    </xdr:from>
    <xdr:ext cx="476250" cy="476250"/>
    <xdr:pic>
      <xdr:nvPicPr>
        <xdr:cNvPr id="19" name="image66.jpg">
          <a:extLst>
            <a:ext uri="{FF2B5EF4-FFF2-40B4-BE49-F238E27FC236}">
              <a16:creationId xmlns:a16="http://schemas.microsoft.com/office/drawing/2014/main" id="{00000000-0008-0000-0700-000013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19</xdr:row>
      <xdr:rowOff>0</xdr:rowOff>
    </xdr:from>
    <xdr:ext cx="476250" cy="476250"/>
    <xdr:pic>
      <xdr:nvPicPr>
        <xdr:cNvPr id="20" name="image8.jpg">
          <a:extLst>
            <a:ext uri="{FF2B5EF4-FFF2-40B4-BE49-F238E27FC236}">
              <a16:creationId xmlns:a16="http://schemas.microsoft.com/office/drawing/2014/main" id="{00000000-0008-0000-0700-000014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0</xdr:colOff>
      <xdr:row>20</xdr:row>
      <xdr:rowOff>0</xdr:rowOff>
    </xdr:from>
    <xdr:ext cx="476250" cy="476250"/>
    <xdr:pic>
      <xdr:nvPicPr>
        <xdr:cNvPr id="21" name="image34.jpg">
          <a:extLst>
            <a:ext uri="{FF2B5EF4-FFF2-40B4-BE49-F238E27FC236}">
              <a16:creationId xmlns:a16="http://schemas.microsoft.com/office/drawing/2014/main" id="{00000000-0008-0000-0700-000015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21</xdr:row>
      <xdr:rowOff>0</xdr:rowOff>
    </xdr:from>
    <xdr:ext cx="476250" cy="476250"/>
    <xdr:pic>
      <xdr:nvPicPr>
        <xdr:cNvPr id="22" name="image80.jpg">
          <a:extLst>
            <a:ext uri="{FF2B5EF4-FFF2-40B4-BE49-F238E27FC236}">
              <a16:creationId xmlns:a16="http://schemas.microsoft.com/office/drawing/2014/main" id="{00000000-0008-0000-0700-000016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0</xdr:colOff>
      <xdr:row>22</xdr:row>
      <xdr:rowOff>0</xdr:rowOff>
    </xdr:from>
    <xdr:ext cx="476250" cy="476250"/>
    <xdr:pic>
      <xdr:nvPicPr>
        <xdr:cNvPr id="23" name="image20.png">
          <a:extLst>
            <a:ext uri="{FF2B5EF4-FFF2-40B4-BE49-F238E27FC236}">
              <a16:creationId xmlns:a16="http://schemas.microsoft.com/office/drawing/2014/main" id="{00000000-0008-0000-0700-000017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23</xdr:row>
      <xdr:rowOff>0</xdr:rowOff>
    </xdr:from>
    <xdr:ext cx="476250" cy="476250"/>
    <xdr:pic>
      <xdr:nvPicPr>
        <xdr:cNvPr id="24" name="image20.png">
          <a:extLst>
            <a:ext uri="{FF2B5EF4-FFF2-40B4-BE49-F238E27FC236}">
              <a16:creationId xmlns:a16="http://schemas.microsoft.com/office/drawing/2014/main" id="{00000000-0008-0000-0700-00001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24</xdr:row>
      <xdr:rowOff>0</xdr:rowOff>
    </xdr:from>
    <xdr:ext cx="476250" cy="476250"/>
    <xdr:pic>
      <xdr:nvPicPr>
        <xdr:cNvPr id="25" name="image96.jpg">
          <a:extLst>
            <a:ext uri="{FF2B5EF4-FFF2-40B4-BE49-F238E27FC236}">
              <a16:creationId xmlns:a16="http://schemas.microsoft.com/office/drawing/2014/main" id="{00000000-0008-0000-0700-000019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25</xdr:row>
      <xdr:rowOff>0</xdr:rowOff>
    </xdr:from>
    <xdr:ext cx="476250" cy="476250"/>
    <xdr:pic>
      <xdr:nvPicPr>
        <xdr:cNvPr id="26" name="image46.jpg">
          <a:extLst>
            <a:ext uri="{FF2B5EF4-FFF2-40B4-BE49-F238E27FC236}">
              <a16:creationId xmlns:a16="http://schemas.microsoft.com/office/drawing/2014/main" id="{00000000-0008-0000-0700-00001A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26</xdr:row>
      <xdr:rowOff>0</xdr:rowOff>
    </xdr:from>
    <xdr:ext cx="476250" cy="476250"/>
    <xdr:pic>
      <xdr:nvPicPr>
        <xdr:cNvPr id="27" name="image58.jpg">
          <a:extLst>
            <a:ext uri="{FF2B5EF4-FFF2-40B4-BE49-F238E27FC236}">
              <a16:creationId xmlns:a16="http://schemas.microsoft.com/office/drawing/2014/main" id="{00000000-0008-0000-0700-00001B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27</xdr:row>
      <xdr:rowOff>0</xdr:rowOff>
    </xdr:from>
    <xdr:ext cx="476250" cy="476250"/>
    <xdr:pic>
      <xdr:nvPicPr>
        <xdr:cNvPr id="28" name="image62.jpg">
          <a:extLst>
            <a:ext uri="{FF2B5EF4-FFF2-40B4-BE49-F238E27FC236}">
              <a16:creationId xmlns:a16="http://schemas.microsoft.com/office/drawing/2014/main" id="{00000000-0008-0000-0700-00001C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28</xdr:row>
      <xdr:rowOff>0</xdr:rowOff>
    </xdr:from>
    <xdr:ext cx="476250" cy="476250"/>
    <xdr:pic>
      <xdr:nvPicPr>
        <xdr:cNvPr id="29" name="image180.jpg">
          <a:extLst>
            <a:ext uri="{FF2B5EF4-FFF2-40B4-BE49-F238E27FC236}">
              <a16:creationId xmlns:a16="http://schemas.microsoft.com/office/drawing/2014/main" id="{00000000-0008-0000-0700-00001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29</xdr:row>
      <xdr:rowOff>0</xdr:rowOff>
    </xdr:from>
    <xdr:ext cx="476250" cy="476250"/>
    <xdr:pic>
      <xdr:nvPicPr>
        <xdr:cNvPr id="30" name="image20.png">
          <a:extLst>
            <a:ext uri="{FF2B5EF4-FFF2-40B4-BE49-F238E27FC236}">
              <a16:creationId xmlns:a16="http://schemas.microsoft.com/office/drawing/2014/main" id="{00000000-0008-0000-0700-00001E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30</xdr:row>
      <xdr:rowOff>0</xdr:rowOff>
    </xdr:from>
    <xdr:ext cx="476250" cy="476250"/>
    <xdr:pic>
      <xdr:nvPicPr>
        <xdr:cNvPr id="31" name="image109.jpg">
          <a:extLst>
            <a:ext uri="{FF2B5EF4-FFF2-40B4-BE49-F238E27FC236}">
              <a16:creationId xmlns:a16="http://schemas.microsoft.com/office/drawing/2014/main" id="{00000000-0008-0000-0700-00001F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31</xdr:row>
      <xdr:rowOff>0</xdr:rowOff>
    </xdr:from>
    <xdr:ext cx="476250" cy="476250"/>
    <xdr:pic>
      <xdr:nvPicPr>
        <xdr:cNvPr id="32" name="image120.jpg">
          <a:extLst>
            <a:ext uri="{FF2B5EF4-FFF2-40B4-BE49-F238E27FC236}">
              <a16:creationId xmlns:a16="http://schemas.microsoft.com/office/drawing/2014/main" id="{00000000-0008-0000-0700-000020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32</xdr:row>
      <xdr:rowOff>0</xdr:rowOff>
    </xdr:from>
    <xdr:ext cx="476250" cy="476250"/>
    <xdr:pic>
      <xdr:nvPicPr>
        <xdr:cNvPr id="33" name="image214.jpg">
          <a:extLst>
            <a:ext uri="{FF2B5EF4-FFF2-40B4-BE49-F238E27FC236}">
              <a16:creationId xmlns:a16="http://schemas.microsoft.com/office/drawing/2014/main" id="{00000000-0008-0000-0700-000021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33</xdr:row>
      <xdr:rowOff>0</xdr:rowOff>
    </xdr:from>
    <xdr:ext cx="476250" cy="476250"/>
    <xdr:pic>
      <xdr:nvPicPr>
        <xdr:cNvPr id="34" name="image71.jpg">
          <a:extLst>
            <a:ext uri="{FF2B5EF4-FFF2-40B4-BE49-F238E27FC236}">
              <a16:creationId xmlns:a16="http://schemas.microsoft.com/office/drawing/2014/main" id="{00000000-0008-0000-0700-00002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34</xdr:row>
      <xdr:rowOff>0</xdr:rowOff>
    </xdr:from>
    <xdr:ext cx="476250" cy="476250"/>
    <xdr:pic>
      <xdr:nvPicPr>
        <xdr:cNvPr id="35" name="image115.jpg">
          <a:extLst>
            <a:ext uri="{FF2B5EF4-FFF2-40B4-BE49-F238E27FC236}">
              <a16:creationId xmlns:a16="http://schemas.microsoft.com/office/drawing/2014/main" id="{00000000-0008-0000-0700-000023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35</xdr:row>
      <xdr:rowOff>0</xdr:rowOff>
    </xdr:from>
    <xdr:ext cx="476250" cy="476250"/>
    <xdr:pic>
      <xdr:nvPicPr>
        <xdr:cNvPr id="36" name="image51.jpg">
          <a:extLst>
            <a:ext uri="{FF2B5EF4-FFF2-40B4-BE49-F238E27FC236}">
              <a16:creationId xmlns:a16="http://schemas.microsoft.com/office/drawing/2014/main" id="{00000000-0008-0000-0700-000024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36</xdr:row>
      <xdr:rowOff>0</xdr:rowOff>
    </xdr:from>
    <xdr:ext cx="476250" cy="476250"/>
    <xdr:pic>
      <xdr:nvPicPr>
        <xdr:cNvPr id="37" name="image67.jpg">
          <a:extLst>
            <a:ext uri="{FF2B5EF4-FFF2-40B4-BE49-F238E27FC236}">
              <a16:creationId xmlns:a16="http://schemas.microsoft.com/office/drawing/2014/main" id="{00000000-0008-0000-0700-00002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0</xdr:colOff>
      <xdr:row>37</xdr:row>
      <xdr:rowOff>0</xdr:rowOff>
    </xdr:from>
    <xdr:ext cx="476250" cy="476250"/>
    <xdr:pic>
      <xdr:nvPicPr>
        <xdr:cNvPr id="38" name="image27.jpg">
          <a:extLst>
            <a:ext uri="{FF2B5EF4-FFF2-40B4-BE49-F238E27FC236}">
              <a16:creationId xmlns:a16="http://schemas.microsoft.com/office/drawing/2014/main" id="{00000000-0008-0000-0700-000026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0</xdr:colOff>
      <xdr:row>38</xdr:row>
      <xdr:rowOff>0</xdr:rowOff>
    </xdr:from>
    <xdr:ext cx="476250" cy="476250"/>
    <xdr:pic>
      <xdr:nvPicPr>
        <xdr:cNvPr id="39" name="image107.jpg">
          <a:extLst>
            <a:ext uri="{FF2B5EF4-FFF2-40B4-BE49-F238E27FC236}">
              <a16:creationId xmlns:a16="http://schemas.microsoft.com/office/drawing/2014/main" id="{00000000-0008-0000-0700-000027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39</xdr:row>
      <xdr:rowOff>0</xdr:rowOff>
    </xdr:from>
    <xdr:ext cx="476250" cy="476250"/>
    <xdr:pic>
      <xdr:nvPicPr>
        <xdr:cNvPr id="40" name="image17.jpg">
          <a:extLst>
            <a:ext uri="{FF2B5EF4-FFF2-40B4-BE49-F238E27FC236}">
              <a16:creationId xmlns:a16="http://schemas.microsoft.com/office/drawing/2014/main" id="{00000000-0008-0000-0700-000028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40</xdr:row>
      <xdr:rowOff>0</xdr:rowOff>
    </xdr:from>
    <xdr:ext cx="476250" cy="476250"/>
    <xdr:pic>
      <xdr:nvPicPr>
        <xdr:cNvPr id="41" name="image208.jpg">
          <a:extLst>
            <a:ext uri="{FF2B5EF4-FFF2-40B4-BE49-F238E27FC236}">
              <a16:creationId xmlns:a16="http://schemas.microsoft.com/office/drawing/2014/main" id="{00000000-0008-0000-0700-000029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0</xdr:colOff>
      <xdr:row>41</xdr:row>
      <xdr:rowOff>0</xdr:rowOff>
    </xdr:from>
    <xdr:ext cx="476250" cy="476250"/>
    <xdr:pic>
      <xdr:nvPicPr>
        <xdr:cNvPr id="42" name="image17.jpg">
          <a:extLst>
            <a:ext uri="{FF2B5EF4-FFF2-40B4-BE49-F238E27FC236}">
              <a16:creationId xmlns:a16="http://schemas.microsoft.com/office/drawing/2014/main" id="{00000000-0008-0000-0700-00002A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42</xdr:row>
      <xdr:rowOff>0</xdr:rowOff>
    </xdr:from>
    <xdr:ext cx="476250" cy="476250"/>
    <xdr:pic>
      <xdr:nvPicPr>
        <xdr:cNvPr id="43" name="image53.jpg">
          <a:extLst>
            <a:ext uri="{FF2B5EF4-FFF2-40B4-BE49-F238E27FC236}">
              <a16:creationId xmlns:a16="http://schemas.microsoft.com/office/drawing/2014/main" id="{00000000-0008-0000-0700-00002B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0</xdr:colOff>
      <xdr:row>43</xdr:row>
      <xdr:rowOff>0</xdr:rowOff>
    </xdr:from>
    <xdr:ext cx="476250" cy="476250"/>
    <xdr:pic>
      <xdr:nvPicPr>
        <xdr:cNvPr id="44" name="image120.jpg">
          <a:extLst>
            <a:ext uri="{FF2B5EF4-FFF2-40B4-BE49-F238E27FC236}">
              <a16:creationId xmlns:a16="http://schemas.microsoft.com/office/drawing/2014/main" id="{00000000-0008-0000-0700-00002C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44</xdr:row>
      <xdr:rowOff>0</xdr:rowOff>
    </xdr:from>
    <xdr:ext cx="476250" cy="476250"/>
    <xdr:pic>
      <xdr:nvPicPr>
        <xdr:cNvPr id="45" name="image209.jpg">
          <a:extLst>
            <a:ext uri="{FF2B5EF4-FFF2-40B4-BE49-F238E27FC236}">
              <a16:creationId xmlns:a16="http://schemas.microsoft.com/office/drawing/2014/main" id="{00000000-0008-0000-0700-00002D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45</xdr:row>
      <xdr:rowOff>0</xdr:rowOff>
    </xdr:from>
    <xdr:ext cx="476250" cy="476250"/>
    <xdr:pic>
      <xdr:nvPicPr>
        <xdr:cNvPr id="46" name="image46.jpg">
          <a:extLst>
            <a:ext uri="{FF2B5EF4-FFF2-40B4-BE49-F238E27FC236}">
              <a16:creationId xmlns:a16="http://schemas.microsoft.com/office/drawing/2014/main" id="{00000000-0008-0000-0700-00002E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46</xdr:row>
      <xdr:rowOff>0</xdr:rowOff>
    </xdr:from>
    <xdr:ext cx="476250" cy="476250"/>
    <xdr:pic>
      <xdr:nvPicPr>
        <xdr:cNvPr id="47" name="image92.jpg">
          <a:extLst>
            <a:ext uri="{FF2B5EF4-FFF2-40B4-BE49-F238E27FC236}">
              <a16:creationId xmlns:a16="http://schemas.microsoft.com/office/drawing/2014/main" id="{00000000-0008-0000-0700-00002F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47</xdr:row>
      <xdr:rowOff>0</xdr:rowOff>
    </xdr:from>
    <xdr:ext cx="476250" cy="476250"/>
    <xdr:pic>
      <xdr:nvPicPr>
        <xdr:cNvPr id="48" name="image66.jpg">
          <a:extLst>
            <a:ext uri="{FF2B5EF4-FFF2-40B4-BE49-F238E27FC236}">
              <a16:creationId xmlns:a16="http://schemas.microsoft.com/office/drawing/2014/main" id="{00000000-0008-0000-0700-000030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48</xdr:row>
      <xdr:rowOff>0</xdr:rowOff>
    </xdr:from>
    <xdr:ext cx="476250" cy="476250"/>
    <xdr:pic>
      <xdr:nvPicPr>
        <xdr:cNvPr id="49" name="image207.jpg">
          <a:extLst>
            <a:ext uri="{FF2B5EF4-FFF2-40B4-BE49-F238E27FC236}">
              <a16:creationId xmlns:a16="http://schemas.microsoft.com/office/drawing/2014/main" id="{00000000-0008-0000-0700-00003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49</xdr:row>
      <xdr:rowOff>0</xdr:rowOff>
    </xdr:from>
    <xdr:ext cx="476250" cy="476250"/>
    <xdr:pic>
      <xdr:nvPicPr>
        <xdr:cNvPr id="50" name="image51.jpg">
          <a:extLst>
            <a:ext uri="{FF2B5EF4-FFF2-40B4-BE49-F238E27FC236}">
              <a16:creationId xmlns:a16="http://schemas.microsoft.com/office/drawing/2014/main" id="{00000000-0008-0000-0700-000032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50</xdr:row>
      <xdr:rowOff>0</xdr:rowOff>
    </xdr:from>
    <xdr:ext cx="476250" cy="476250"/>
    <xdr:pic>
      <xdr:nvPicPr>
        <xdr:cNvPr id="51" name="image217.jpg">
          <a:extLst>
            <a:ext uri="{FF2B5EF4-FFF2-40B4-BE49-F238E27FC236}">
              <a16:creationId xmlns:a16="http://schemas.microsoft.com/office/drawing/2014/main" id="{00000000-0008-0000-0700-000033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51</xdr:row>
      <xdr:rowOff>0</xdr:rowOff>
    </xdr:from>
    <xdr:ext cx="476250" cy="476250"/>
    <xdr:pic>
      <xdr:nvPicPr>
        <xdr:cNvPr id="52" name="image218.jpg">
          <a:extLst>
            <a:ext uri="{FF2B5EF4-FFF2-40B4-BE49-F238E27FC236}">
              <a16:creationId xmlns:a16="http://schemas.microsoft.com/office/drawing/2014/main" id="{00000000-0008-0000-0700-000034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52</xdr:row>
      <xdr:rowOff>0</xdr:rowOff>
    </xdr:from>
    <xdr:ext cx="476250" cy="476250"/>
    <xdr:pic>
      <xdr:nvPicPr>
        <xdr:cNvPr id="53" name="image87.jpg">
          <a:extLst>
            <a:ext uri="{FF2B5EF4-FFF2-40B4-BE49-F238E27FC236}">
              <a16:creationId xmlns:a16="http://schemas.microsoft.com/office/drawing/2014/main" id="{00000000-0008-0000-0700-000035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53</xdr:row>
      <xdr:rowOff>0</xdr:rowOff>
    </xdr:from>
    <xdr:ext cx="476250" cy="476250"/>
    <xdr:pic>
      <xdr:nvPicPr>
        <xdr:cNvPr id="54" name="image85.jpg">
          <a:extLst>
            <a:ext uri="{FF2B5EF4-FFF2-40B4-BE49-F238E27FC236}">
              <a16:creationId xmlns:a16="http://schemas.microsoft.com/office/drawing/2014/main" id="{00000000-0008-0000-0700-000036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54</xdr:row>
      <xdr:rowOff>0</xdr:rowOff>
    </xdr:from>
    <xdr:ext cx="476250" cy="476250"/>
    <xdr:pic>
      <xdr:nvPicPr>
        <xdr:cNvPr id="55" name="image113.jpg">
          <a:extLst>
            <a:ext uri="{FF2B5EF4-FFF2-40B4-BE49-F238E27FC236}">
              <a16:creationId xmlns:a16="http://schemas.microsoft.com/office/drawing/2014/main" id="{00000000-0008-0000-0700-000037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55</xdr:row>
      <xdr:rowOff>0</xdr:rowOff>
    </xdr:from>
    <xdr:ext cx="476250" cy="476250"/>
    <xdr:pic>
      <xdr:nvPicPr>
        <xdr:cNvPr id="56" name="image206.jpg">
          <a:extLst>
            <a:ext uri="{FF2B5EF4-FFF2-40B4-BE49-F238E27FC236}">
              <a16:creationId xmlns:a16="http://schemas.microsoft.com/office/drawing/2014/main" id="{00000000-0008-0000-0700-000038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56</xdr:row>
      <xdr:rowOff>0</xdr:rowOff>
    </xdr:from>
    <xdr:ext cx="476250" cy="476250"/>
    <xdr:pic>
      <xdr:nvPicPr>
        <xdr:cNvPr id="57" name="image101.jpg">
          <a:extLst>
            <a:ext uri="{FF2B5EF4-FFF2-40B4-BE49-F238E27FC236}">
              <a16:creationId xmlns:a16="http://schemas.microsoft.com/office/drawing/2014/main" id="{00000000-0008-0000-0700-000039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57</xdr:row>
      <xdr:rowOff>0</xdr:rowOff>
    </xdr:from>
    <xdr:ext cx="476250" cy="476250"/>
    <xdr:pic>
      <xdr:nvPicPr>
        <xdr:cNvPr id="58" name="image90.jpg">
          <a:extLst>
            <a:ext uri="{FF2B5EF4-FFF2-40B4-BE49-F238E27FC236}">
              <a16:creationId xmlns:a16="http://schemas.microsoft.com/office/drawing/2014/main" id="{00000000-0008-0000-0700-00003A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2</xdr:col>
      <xdr:colOff>0</xdr:colOff>
      <xdr:row>58</xdr:row>
      <xdr:rowOff>0</xdr:rowOff>
    </xdr:from>
    <xdr:ext cx="476250" cy="476250"/>
    <xdr:pic>
      <xdr:nvPicPr>
        <xdr:cNvPr id="59" name="image117.jpg">
          <a:extLst>
            <a:ext uri="{FF2B5EF4-FFF2-40B4-BE49-F238E27FC236}">
              <a16:creationId xmlns:a16="http://schemas.microsoft.com/office/drawing/2014/main" id="{00000000-0008-0000-0700-00003B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59</xdr:row>
      <xdr:rowOff>0</xdr:rowOff>
    </xdr:from>
    <xdr:ext cx="476250" cy="476250"/>
    <xdr:pic>
      <xdr:nvPicPr>
        <xdr:cNvPr id="60" name="image121.jpg">
          <a:extLst>
            <a:ext uri="{FF2B5EF4-FFF2-40B4-BE49-F238E27FC236}">
              <a16:creationId xmlns:a16="http://schemas.microsoft.com/office/drawing/2014/main" id="{00000000-0008-0000-0700-00003C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60</xdr:row>
      <xdr:rowOff>0</xdr:rowOff>
    </xdr:from>
    <xdr:ext cx="476250" cy="476250"/>
    <xdr:pic>
      <xdr:nvPicPr>
        <xdr:cNvPr id="61" name="image117.jpg">
          <a:extLst>
            <a:ext uri="{FF2B5EF4-FFF2-40B4-BE49-F238E27FC236}">
              <a16:creationId xmlns:a16="http://schemas.microsoft.com/office/drawing/2014/main" id="{00000000-0008-0000-0700-00003D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61</xdr:row>
      <xdr:rowOff>0</xdr:rowOff>
    </xdr:from>
    <xdr:ext cx="476250" cy="476250"/>
    <xdr:pic>
      <xdr:nvPicPr>
        <xdr:cNvPr id="62" name="image14.jpg">
          <a:extLst>
            <a:ext uri="{FF2B5EF4-FFF2-40B4-BE49-F238E27FC236}">
              <a16:creationId xmlns:a16="http://schemas.microsoft.com/office/drawing/2014/main" id="{00000000-0008-0000-0700-00003E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62</xdr:row>
      <xdr:rowOff>0</xdr:rowOff>
    </xdr:from>
    <xdr:ext cx="476250" cy="476250"/>
    <xdr:pic>
      <xdr:nvPicPr>
        <xdr:cNvPr id="63" name="image213.jpg">
          <a:extLst>
            <a:ext uri="{FF2B5EF4-FFF2-40B4-BE49-F238E27FC236}">
              <a16:creationId xmlns:a16="http://schemas.microsoft.com/office/drawing/2014/main" id="{00000000-0008-0000-0700-00003F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63</xdr:row>
      <xdr:rowOff>0</xdr:rowOff>
    </xdr:from>
    <xdr:ext cx="476250" cy="476250"/>
    <xdr:pic>
      <xdr:nvPicPr>
        <xdr:cNvPr id="64" name="image133.jpg">
          <a:extLst>
            <a:ext uri="{FF2B5EF4-FFF2-40B4-BE49-F238E27FC236}">
              <a16:creationId xmlns:a16="http://schemas.microsoft.com/office/drawing/2014/main" id="{00000000-0008-0000-0700-000040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64</xdr:row>
      <xdr:rowOff>0</xdr:rowOff>
    </xdr:from>
    <xdr:ext cx="476250" cy="476250"/>
    <xdr:pic>
      <xdr:nvPicPr>
        <xdr:cNvPr id="65" name="image82.jpg">
          <a:extLst>
            <a:ext uri="{FF2B5EF4-FFF2-40B4-BE49-F238E27FC236}">
              <a16:creationId xmlns:a16="http://schemas.microsoft.com/office/drawing/2014/main" id="{00000000-0008-0000-0700-000041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2</xdr:col>
      <xdr:colOff>0</xdr:colOff>
      <xdr:row>65</xdr:row>
      <xdr:rowOff>0</xdr:rowOff>
    </xdr:from>
    <xdr:ext cx="476250" cy="476250"/>
    <xdr:pic>
      <xdr:nvPicPr>
        <xdr:cNvPr id="66" name="image121.jpg">
          <a:extLst>
            <a:ext uri="{FF2B5EF4-FFF2-40B4-BE49-F238E27FC236}">
              <a16:creationId xmlns:a16="http://schemas.microsoft.com/office/drawing/2014/main" id="{00000000-0008-0000-0700-000042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66</xdr:row>
      <xdr:rowOff>0</xdr:rowOff>
    </xdr:from>
    <xdr:ext cx="476250" cy="476250"/>
    <xdr:pic>
      <xdr:nvPicPr>
        <xdr:cNvPr id="67" name="image121.jpg">
          <a:extLst>
            <a:ext uri="{FF2B5EF4-FFF2-40B4-BE49-F238E27FC236}">
              <a16:creationId xmlns:a16="http://schemas.microsoft.com/office/drawing/2014/main" id="{00000000-0008-0000-0700-000043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67</xdr:row>
      <xdr:rowOff>0</xdr:rowOff>
    </xdr:from>
    <xdr:ext cx="476250" cy="476250"/>
    <xdr:pic>
      <xdr:nvPicPr>
        <xdr:cNvPr id="68" name="image97.jpg">
          <a:extLst>
            <a:ext uri="{FF2B5EF4-FFF2-40B4-BE49-F238E27FC236}">
              <a16:creationId xmlns:a16="http://schemas.microsoft.com/office/drawing/2014/main" id="{00000000-0008-0000-0700-000044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68</xdr:row>
      <xdr:rowOff>0</xdr:rowOff>
    </xdr:from>
    <xdr:ext cx="476250" cy="476250"/>
    <xdr:pic>
      <xdr:nvPicPr>
        <xdr:cNvPr id="69" name="image50.jpg">
          <a:extLst>
            <a:ext uri="{FF2B5EF4-FFF2-40B4-BE49-F238E27FC236}">
              <a16:creationId xmlns:a16="http://schemas.microsoft.com/office/drawing/2014/main" id="{00000000-0008-0000-0700-000045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69</xdr:row>
      <xdr:rowOff>0</xdr:rowOff>
    </xdr:from>
    <xdr:ext cx="476250" cy="476250"/>
    <xdr:pic>
      <xdr:nvPicPr>
        <xdr:cNvPr id="70" name="image213.jpg">
          <a:extLst>
            <a:ext uri="{FF2B5EF4-FFF2-40B4-BE49-F238E27FC236}">
              <a16:creationId xmlns:a16="http://schemas.microsoft.com/office/drawing/2014/main" id="{00000000-0008-0000-0700-000046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70</xdr:row>
      <xdr:rowOff>0</xdr:rowOff>
    </xdr:from>
    <xdr:ext cx="476250" cy="476250"/>
    <xdr:pic>
      <xdr:nvPicPr>
        <xdr:cNvPr id="71" name="image46.jpg">
          <a:extLst>
            <a:ext uri="{FF2B5EF4-FFF2-40B4-BE49-F238E27FC236}">
              <a16:creationId xmlns:a16="http://schemas.microsoft.com/office/drawing/2014/main" id="{00000000-0008-0000-0700-000047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71</xdr:row>
      <xdr:rowOff>0</xdr:rowOff>
    </xdr:from>
    <xdr:ext cx="476250" cy="476250"/>
    <xdr:pic>
      <xdr:nvPicPr>
        <xdr:cNvPr id="72" name="image93.jpg">
          <a:extLst>
            <a:ext uri="{FF2B5EF4-FFF2-40B4-BE49-F238E27FC236}">
              <a16:creationId xmlns:a16="http://schemas.microsoft.com/office/drawing/2014/main" id="{00000000-0008-0000-0700-000048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72</xdr:row>
      <xdr:rowOff>0</xdr:rowOff>
    </xdr:from>
    <xdr:ext cx="476250" cy="476250"/>
    <xdr:pic>
      <xdr:nvPicPr>
        <xdr:cNvPr id="73" name="image216.jpg">
          <a:extLst>
            <a:ext uri="{FF2B5EF4-FFF2-40B4-BE49-F238E27FC236}">
              <a16:creationId xmlns:a16="http://schemas.microsoft.com/office/drawing/2014/main" id="{00000000-0008-0000-0700-000049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73</xdr:row>
      <xdr:rowOff>0</xdr:rowOff>
    </xdr:from>
    <xdr:ext cx="476250" cy="476250"/>
    <xdr:pic>
      <xdr:nvPicPr>
        <xdr:cNvPr id="74" name="image89.jpg">
          <a:extLst>
            <a:ext uri="{FF2B5EF4-FFF2-40B4-BE49-F238E27FC236}">
              <a16:creationId xmlns:a16="http://schemas.microsoft.com/office/drawing/2014/main" id="{00000000-0008-0000-0700-00004A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0</xdr:colOff>
      <xdr:row>74</xdr:row>
      <xdr:rowOff>0</xdr:rowOff>
    </xdr:from>
    <xdr:ext cx="476250" cy="476250"/>
    <xdr:pic>
      <xdr:nvPicPr>
        <xdr:cNvPr id="75" name="image225.jpg">
          <a:extLst>
            <a:ext uri="{FF2B5EF4-FFF2-40B4-BE49-F238E27FC236}">
              <a16:creationId xmlns:a16="http://schemas.microsoft.com/office/drawing/2014/main" id="{00000000-0008-0000-0700-00004B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2</xdr:col>
      <xdr:colOff>0</xdr:colOff>
      <xdr:row>75</xdr:row>
      <xdr:rowOff>0</xdr:rowOff>
    </xdr:from>
    <xdr:ext cx="476250" cy="476250"/>
    <xdr:pic>
      <xdr:nvPicPr>
        <xdr:cNvPr id="76" name="image219.jpg">
          <a:extLst>
            <a:ext uri="{FF2B5EF4-FFF2-40B4-BE49-F238E27FC236}">
              <a16:creationId xmlns:a16="http://schemas.microsoft.com/office/drawing/2014/main" id="{00000000-0008-0000-0700-00004C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76</xdr:row>
      <xdr:rowOff>0</xdr:rowOff>
    </xdr:from>
    <xdr:ext cx="476250" cy="476250"/>
    <xdr:pic>
      <xdr:nvPicPr>
        <xdr:cNvPr id="77" name="image229.jpg">
          <a:extLst>
            <a:ext uri="{FF2B5EF4-FFF2-40B4-BE49-F238E27FC236}">
              <a16:creationId xmlns:a16="http://schemas.microsoft.com/office/drawing/2014/main" id="{00000000-0008-0000-0700-00004D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2</xdr:col>
      <xdr:colOff>0</xdr:colOff>
      <xdr:row>77</xdr:row>
      <xdr:rowOff>0</xdr:rowOff>
    </xdr:from>
    <xdr:ext cx="476250" cy="476250"/>
    <xdr:pic>
      <xdr:nvPicPr>
        <xdr:cNvPr id="78" name="image222.jpg">
          <a:extLst>
            <a:ext uri="{FF2B5EF4-FFF2-40B4-BE49-F238E27FC236}">
              <a16:creationId xmlns:a16="http://schemas.microsoft.com/office/drawing/2014/main" id="{00000000-0008-0000-0700-00004E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2</xdr:col>
      <xdr:colOff>0</xdr:colOff>
      <xdr:row>78</xdr:row>
      <xdr:rowOff>0</xdr:rowOff>
    </xdr:from>
    <xdr:ext cx="476250" cy="476250"/>
    <xdr:pic>
      <xdr:nvPicPr>
        <xdr:cNvPr id="79" name="image228.jpg">
          <a:extLst>
            <a:ext uri="{FF2B5EF4-FFF2-40B4-BE49-F238E27FC236}">
              <a16:creationId xmlns:a16="http://schemas.microsoft.com/office/drawing/2014/main" id="{00000000-0008-0000-0700-00004F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2</xdr:col>
      <xdr:colOff>0</xdr:colOff>
      <xdr:row>79</xdr:row>
      <xdr:rowOff>0</xdr:rowOff>
    </xdr:from>
    <xdr:ext cx="476250" cy="476250"/>
    <xdr:pic>
      <xdr:nvPicPr>
        <xdr:cNvPr id="80" name="image215.jpg">
          <a:extLst>
            <a:ext uri="{FF2B5EF4-FFF2-40B4-BE49-F238E27FC236}">
              <a16:creationId xmlns:a16="http://schemas.microsoft.com/office/drawing/2014/main" id="{00000000-0008-0000-0700-000050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2</xdr:col>
      <xdr:colOff>0</xdr:colOff>
      <xdr:row>80</xdr:row>
      <xdr:rowOff>0</xdr:rowOff>
    </xdr:from>
    <xdr:ext cx="476250" cy="476250"/>
    <xdr:pic>
      <xdr:nvPicPr>
        <xdr:cNvPr id="81" name="image239.jpg">
          <a:extLst>
            <a:ext uri="{FF2B5EF4-FFF2-40B4-BE49-F238E27FC236}">
              <a16:creationId xmlns:a16="http://schemas.microsoft.com/office/drawing/2014/main" id="{00000000-0008-0000-0700-000051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2</xdr:col>
      <xdr:colOff>0</xdr:colOff>
      <xdr:row>81</xdr:row>
      <xdr:rowOff>0</xdr:rowOff>
    </xdr:from>
    <xdr:ext cx="476250" cy="476250"/>
    <xdr:pic>
      <xdr:nvPicPr>
        <xdr:cNvPr id="82" name="image51.jpg">
          <a:extLst>
            <a:ext uri="{FF2B5EF4-FFF2-40B4-BE49-F238E27FC236}">
              <a16:creationId xmlns:a16="http://schemas.microsoft.com/office/drawing/2014/main" id="{00000000-0008-0000-0700-000052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82</xdr:row>
      <xdr:rowOff>0</xdr:rowOff>
    </xdr:from>
    <xdr:ext cx="476250" cy="476250"/>
    <xdr:pic>
      <xdr:nvPicPr>
        <xdr:cNvPr id="83" name="image115.jpg">
          <a:extLst>
            <a:ext uri="{FF2B5EF4-FFF2-40B4-BE49-F238E27FC236}">
              <a16:creationId xmlns:a16="http://schemas.microsoft.com/office/drawing/2014/main" id="{00000000-0008-0000-0700-000053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83</xdr:row>
      <xdr:rowOff>0</xdr:rowOff>
    </xdr:from>
    <xdr:ext cx="476250" cy="476250"/>
    <xdr:pic>
      <xdr:nvPicPr>
        <xdr:cNvPr id="84" name="image53.jpg">
          <a:extLst>
            <a:ext uri="{FF2B5EF4-FFF2-40B4-BE49-F238E27FC236}">
              <a16:creationId xmlns:a16="http://schemas.microsoft.com/office/drawing/2014/main" id="{00000000-0008-0000-0700-000054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0</xdr:colOff>
      <xdr:row>84</xdr:row>
      <xdr:rowOff>0</xdr:rowOff>
    </xdr:from>
    <xdr:ext cx="476250" cy="476250"/>
    <xdr:pic>
      <xdr:nvPicPr>
        <xdr:cNvPr id="85" name="image223.jpg">
          <a:extLst>
            <a:ext uri="{FF2B5EF4-FFF2-40B4-BE49-F238E27FC236}">
              <a16:creationId xmlns:a16="http://schemas.microsoft.com/office/drawing/2014/main" id="{00000000-0008-0000-0700-000055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85</xdr:row>
      <xdr:rowOff>0</xdr:rowOff>
    </xdr:from>
    <xdr:ext cx="476250" cy="476250"/>
    <xdr:pic>
      <xdr:nvPicPr>
        <xdr:cNvPr id="86" name="image211.jpg">
          <a:extLst>
            <a:ext uri="{FF2B5EF4-FFF2-40B4-BE49-F238E27FC236}">
              <a16:creationId xmlns:a16="http://schemas.microsoft.com/office/drawing/2014/main" id="{00000000-0008-0000-0700-000056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2</xdr:col>
      <xdr:colOff>0</xdr:colOff>
      <xdr:row>86</xdr:row>
      <xdr:rowOff>0</xdr:rowOff>
    </xdr:from>
    <xdr:ext cx="476250" cy="476250"/>
    <xdr:pic>
      <xdr:nvPicPr>
        <xdr:cNvPr id="87" name="image115.jpg">
          <a:extLst>
            <a:ext uri="{FF2B5EF4-FFF2-40B4-BE49-F238E27FC236}">
              <a16:creationId xmlns:a16="http://schemas.microsoft.com/office/drawing/2014/main" id="{00000000-0008-0000-0700-00005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87</xdr:row>
      <xdr:rowOff>0</xdr:rowOff>
    </xdr:from>
    <xdr:ext cx="476250" cy="476250"/>
    <xdr:pic>
      <xdr:nvPicPr>
        <xdr:cNvPr id="88" name="image224.jpg">
          <a:extLst>
            <a:ext uri="{FF2B5EF4-FFF2-40B4-BE49-F238E27FC236}">
              <a16:creationId xmlns:a16="http://schemas.microsoft.com/office/drawing/2014/main" id="{00000000-0008-0000-0700-000058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88</xdr:row>
      <xdr:rowOff>0</xdr:rowOff>
    </xdr:from>
    <xdr:ext cx="476250" cy="476250"/>
    <xdr:pic>
      <xdr:nvPicPr>
        <xdr:cNvPr id="89" name="image230.jpg">
          <a:extLst>
            <a:ext uri="{FF2B5EF4-FFF2-40B4-BE49-F238E27FC236}">
              <a16:creationId xmlns:a16="http://schemas.microsoft.com/office/drawing/2014/main" id="{00000000-0008-0000-0700-000059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2</xdr:col>
      <xdr:colOff>0</xdr:colOff>
      <xdr:row>89</xdr:row>
      <xdr:rowOff>0</xdr:rowOff>
    </xdr:from>
    <xdr:ext cx="476250" cy="476250"/>
    <xdr:pic>
      <xdr:nvPicPr>
        <xdr:cNvPr id="90" name="image123.jpg">
          <a:extLst>
            <a:ext uri="{FF2B5EF4-FFF2-40B4-BE49-F238E27FC236}">
              <a16:creationId xmlns:a16="http://schemas.microsoft.com/office/drawing/2014/main" id="{00000000-0008-0000-0700-00005A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2</xdr:col>
      <xdr:colOff>0</xdr:colOff>
      <xdr:row>90</xdr:row>
      <xdr:rowOff>0</xdr:rowOff>
    </xdr:from>
    <xdr:ext cx="476250" cy="476250"/>
    <xdr:pic>
      <xdr:nvPicPr>
        <xdr:cNvPr id="91" name="image86.jpg">
          <a:extLst>
            <a:ext uri="{FF2B5EF4-FFF2-40B4-BE49-F238E27FC236}">
              <a16:creationId xmlns:a16="http://schemas.microsoft.com/office/drawing/2014/main" id="{00000000-0008-0000-0700-00005B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2</xdr:col>
      <xdr:colOff>0</xdr:colOff>
      <xdr:row>91</xdr:row>
      <xdr:rowOff>0</xdr:rowOff>
    </xdr:from>
    <xdr:ext cx="476250" cy="476250"/>
    <xdr:pic>
      <xdr:nvPicPr>
        <xdr:cNvPr id="92" name="image205.jpg">
          <a:extLst>
            <a:ext uri="{FF2B5EF4-FFF2-40B4-BE49-F238E27FC236}">
              <a16:creationId xmlns:a16="http://schemas.microsoft.com/office/drawing/2014/main" id="{00000000-0008-0000-0700-00005C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2</xdr:col>
      <xdr:colOff>0</xdr:colOff>
      <xdr:row>92</xdr:row>
      <xdr:rowOff>0</xdr:rowOff>
    </xdr:from>
    <xdr:ext cx="476250" cy="476250"/>
    <xdr:pic>
      <xdr:nvPicPr>
        <xdr:cNvPr id="93" name="image214.jpg">
          <a:extLst>
            <a:ext uri="{FF2B5EF4-FFF2-40B4-BE49-F238E27FC236}">
              <a16:creationId xmlns:a16="http://schemas.microsoft.com/office/drawing/2014/main" id="{00000000-0008-0000-0700-00005D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93</xdr:row>
      <xdr:rowOff>0</xdr:rowOff>
    </xdr:from>
    <xdr:ext cx="476250" cy="476250"/>
    <xdr:pic>
      <xdr:nvPicPr>
        <xdr:cNvPr id="94" name="image226.jpg">
          <a:extLst>
            <a:ext uri="{FF2B5EF4-FFF2-40B4-BE49-F238E27FC236}">
              <a16:creationId xmlns:a16="http://schemas.microsoft.com/office/drawing/2014/main" id="{00000000-0008-0000-0700-00005E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2</xdr:col>
      <xdr:colOff>0</xdr:colOff>
      <xdr:row>94</xdr:row>
      <xdr:rowOff>0</xdr:rowOff>
    </xdr:from>
    <xdr:ext cx="476250" cy="476250"/>
    <xdr:pic>
      <xdr:nvPicPr>
        <xdr:cNvPr id="95" name="image114.jpg">
          <a:extLst>
            <a:ext uri="{FF2B5EF4-FFF2-40B4-BE49-F238E27FC236}">
              <a16:creationId xmlns:a16="http://schemas.microsoft.com/office/drawing/2014/main" id="{00000000-0008-0000-0700-00005F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95</xdr:row>
      <xdr:rowOff>0</xdr:rowOff>
    </xdr:from>
    <xdr:ext cx="476250" cy="476250"/>
    <xdr:pic>
      <xdr:nvPicPr>
        <xdr:cNvPr id="96" name="image238.jpg">
          <a:extLst>
            <a:ext uri="{FF2B5EF4-FFF2-40B4-BE49-F238E27FC236}">
              <a16:creationId xmlns:a16="http://schemas.microsoft.com/office/drawing/2014/main" id="{00000000-0008-0000-0700-000060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2</xdr:col>
      <xdr:colOff>0</xdr:colOff>
      <xdr:row>96</xdr:row>
      <xdr:rowOff>0</xdr:rowOff>
    </xdr:from>
    <xdr:ext cx="476250" cy="476250"/>
    <xdr:pic>
      <xdr:nvPicPr>
        <xdr:cNvPr id="97" name="image234.jpg">
          <a:extLst>
            <a:ext uri="{FF2B5EF4-FFF2-40B4-BE49-F238E27FC236}">
              <a16:creationId xmlns:a16="http://schemas.microsoft.com/office/drawing/2014/main" id="{00000000-0008-0000-0700-000061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97</xdr:row>
      <xdr:rowOff>0</xdr:rowOff>
    </xdr:from>
    <xdr:ext cx="476250" cy="476250"/>
    <xdr:pic>
      <xdr:nvPicPr>
        <xdr:cNvPr id="98" name="image241.jpg">
          <a:extLst>
            <a:ext uri="{FF2B5EF4-FFF2-40B4-BE49-F238E27FC236}">
              <a16:creationId xmlns:a16="http://schemas.microsoft.com/office/drawing/2014/main" id="{00000000-0008-0000-0700-000062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2</xdr:col>
      <xdr:colOff>0</xdr:colOff>
      <xdr:row>98</xdr:row>
      <xdr:rowOff>0</xdr:rowOff>
    </xdr:from>
    <xdr:ext cx="476250" cy="476250"/>
    <xdr:pic>
      <xdr:nvPicPr>
        <xdr:cNvPr id="99" name="image231.jpg">
          <a:extLst>
            <a:ext uri="{FF2B5EF4-FFF2-40B4-BE49-F238E27FC236}">
              <a16:creationId xmlns:a16="http://schemas.microsoft.com/office/drawing/2014/main" id="{00000000-0008-0000-0700-000063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99</xdr:row>
      <xdr:rowOff>0</xdr:rowOff>
    </xdr:from>
    <xdr:ext cx="476250" cy="476250"/>
    <xdr:pic>
      <xdr:nvPicPr>
        <xdr:cNvPr id="100" name="image50.jpg">
          <a:extLst>
            <a:ext uri="{FF2B5EF4-FFF2-40B4-BE49-F238E27FC236}">
              <a16:creationId xmlns:a16="http://schemas.microsoft.com/office/drawing/2014/main" id="{00000000-0008-0000-0700-000064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100</xdr:row>
      <xdr:rowOff>0</xdr:rowOff>
    </xdr:from>
    <xdr:ext cx="476250" cy="476250"/>
    <xdr:pic>
      <xdr:nvPicPr>
        <xdr:cNvPr id="101" name="image116.jpg">
          <a:extLst>
            <a:ext uri="{FF2B5EF4-FFF2-40B4-BE49-F238E27FC236}">
              <a16:creationId xmlns:a16="http://schemas.microsoft.com/office/drawing/2014/main" id="{00000000-0008-0000-0700-000065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101</xdr:row>
      <xdr:rowOff>0</xdr:rowOff>
    </xdr:from>
    <xdr:ext cx="476250" cy="476250"/>
    <xdr:pic>
      <xdr:nvPicPr>
        <xdr:cNvPr id="102" name="image237.jpg">
          <a:extLst>
            <a:ext uri="{FF2B5EF4-FFF2-40B4-BE49-F238E27FC236}">
              <a16:creationId xmlns:a16="http://schemas.microsoft.com/office/drawing/2014/main" id="{00000000-0008-0000-0700-000066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2</xdr:col>
      <xdr:colOff>0</xdr:colOff>
      <xdr:row>102</xdr:row>
      <xdr:rowOff>0</xdr:rowOff>
    </xdr:from>
    <xdr:ext cx="476250" cy="476250"/>
    <xdr:pic>
      <xdr:nvPicPr>
        <xdr:cNvPr id="103" name="image116.jpg">
          <a:extLst>
            <a:ext uri="{FF2B5EF4-FFF2-40B4-BE49-F238E27FC236}">
              <a16:creationId xmlns:a16="http://schemas.microsoft.com/office/drawing/2014/main" id="{00000000-0008-0000-0700-000067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2</xdr:col>
      <xdr:colOff>0</xdr:colOff>
      <xdr:row>103</xdr:row>
      <xdr:rowOff>0</xdr:rowOff>
    </xdr:from>
    <xdr:ext cx="476250" cy="476250"/>
    <xdr:pic>
      <xdr:nvPicPr>
        <xdr:cNvPr id="104" name="image221.jpg">
          <a:extLst>
            <a:ext uri="{FF2B5EF4-FFF2-40B4-BE49-F238E27FC236}">
              <a16:creationId xmlns:a16="http://schemas.microsoft.com/office/drawing/2014/main" id="{00000000-0008-0000-0700-000068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2</xdr:col>
      <xdr:colOff>0</xdr:colOff>
      <xdr:row>104</xdr:row>
      <xdr:rowOff>0</xdr:rowOff>
    </xdr:from>
    <xdr:ext cx="476250" cy="476250"/>
    <xdr:pic>
      <xdr:nvPicPr>
        <xdr:cNvPr id="105" name="image71.jpg">
          <a:extLst>
            <a:ext uri="{FF2B5EF4-FFF2-40B4-BE49-F238E27FC236}">
              <a16:creationId xmlns:a16="http://schemas.microsoft.com/office/drawing/2014/main" id="{00000000-0008-0000-0700-000069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105</xdr:row>
      <xdr:rowOff>0</xdr:rowOff>
    </xdr:from>
    <xdr:ext cx="476250" cy="476250"/>
    <xdr:pic>
      <xdr:nvPicPr>
        <xdr:cNvPr id="106" name="image80.jpg">
          <a:extLst>
            <a:ext uri="{FF2B5EF4-FFF2-40B4-BE49-F238E27FC236}">
              <a16:creationId xmlns:a16="http://schemas.microsoft.com/office/drawing/2014/main" id="{00000000-0008-0000-0700-00006A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0</xdr:colOff>
      <xdr:row>106</xdr:row>
      <xdr:rowOff>0</xdr:rowOff>
    </xdr:from>
    <xdr:ext cx="476250" cy="476250"/>
    <xdr:pic>
      <xdr:nvPicPr>
        <xdr:cNvPr id="107" name="image97.jpg">
          <a:extLst>
            <a:ext uri="{FF2B5EF4-FFF2-40B4-BE49-F238E27FC236}">
              <a16:creationId xmlns:a16="http://schemas.microsoft.com/office/drawing/2014/main" id="{00000000-0008-0000-0700-00006B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107</xdr:row>
      <xdr:rowOff>0</xdr:rowOff>
    </xdr:from>
    <xdr:ext cx="476250" cy="476250"/>
    <xdr:pic>
      <xdr:nvPicPr>
        <xdr:cNvPr id="108" name="image79.jpg">
          <a:extLst>
            <a:ext uri="{FF2B5EF4-FFF2-40B4-BE49-F238E27FC236}">
              <a16:creationId xmlns:a16="http://schemas.microsoft.com/office/drawing/2014/main" id="{00000000-0008-0000-0700-00006C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2</xdr:col>
      <xdr:colOff>0</xdr:colOff>
      <xdr:row>108</xdr:row>
      <xdr:rowOff>0</xdr:rowOff>
    </xdr:from>
    <xdr:ext cx="476250" cy="476250"/>
    <xdr:pic>
      <xdr:nvPicPr>
        <xdr:cNvPr id="109" name="image110.jpg">
          <a:extLst>
            <a:ext uri="{FF2B5EF4-FFF2-40B4-BE49-F238E27FC236}">
              <a16:creationId xmlns:a16="http://schemas.microsoft.com/office/drawing/2014/main" id="{00000000-0008-0000-0700-00006D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2</xdr:col>
      <xdr:colOff>0</xdr:colOff>
      <xdr:row>109</xdr:row>
      <xdr:rowOff>0</xdr:rowOff>
    </xdr:from>
    <xdr:ext cx="476250" cy="476250"/>
    <xdr:pic>
      <xdr:nvPicPr>
        <xdr:cNvPr id="110" name="image236.jpg">
          <a:extLst>
            <a:ext uri="{FF2B5EF4-FFF2-40B4-BE49-F238E27FC236}">
              <a16:creationId xmlns:a16="http://schemas.microsoft.com/office/drawing/2014/main" id="{00000000-0008-0000-0700-00006E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2</xdr:col>
      <xdr:colOff>0</xdr:colOff>
      <xdr:row>110</xdr:row>
      <xdr:rowOff>0</xdr:rowOff>
    </xdr:from>
    <xdr:ext cx="476250" cy="476250"/>
    <xdr:pic>
      <xdr:nvPicPr>
        <xdr:cNvPr id="111" name="image252.jpg">
          <a:extLst>
            <a:ext uri="{FF2B5EF4-FFF2-40B4-BE49-F238E27FC236}">
              <a16:creationId xmlns:a16="http://schemas.microsoft.com/office/drawing/2014/main" id="{00000000-0008-0000-0700-00006F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2</xdr:col>
      <xdr:colOff>0</xdr:colOff>
      <xdr:row>111</xdr:row>
      <xdr:rowOff>0</xdr:rowOff>
    </xdr:from>
    <xdr:ext cx="476250" cy="476250"/>
    <xdr:pic>
      <xdr:nvPicPr>
        <xdr:cNvPr id="112" name="image98.jpg">
          <a:extLst>
            <a:ext uri="{FF2B5EF4-FFF2-40B4-BE49-F238E27FC236}">
              <a16:creationId xmlns:a16="http://schemas.microsoft.com/office/drawing/2014/main" id="{00000000-0008-0000-0700-000070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2</xdr:col>
      <xdr:colOff>0</xdr:colOff>
      <xdr:row>112</xdr:row>
      <xdr:rowOff>0</xdr:rowOff>
    </xdr:from>
    <xdr:ext cx="476250" cy="476250"/>
    <xdr:pic>
      <xdr:nvPicPr>
        <xdr:cNvPr id="113" name="image65.png">
          <a:extLst>
            <a:ext uri="{FF2B5EF4-FFF2-40B4-BE49-F238E27FC236}">
              <a16:creationId xmlns:a16="http://schemas.microsoft.com/office/drawing/2014/main" id="{00000000-0008-0000-0700-000071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2</xdr:col>
      <xdr:colOff>0</xdr:colOff>
      <xdr:row>113</xdr:row>
      <xdr:rowOff>0</xdr:rowOff>
    </xdr:from>
    <xdr:ext cx="476250" cy="476250"/>
    <xdr:pic>
      <xdr:nvPicPr>
        <xdr:cNvPr id="114" name="image246.jpg">
          <a:extLst>
            <a:ext uri="{FF2B5EF4-FFF2-40B4-BE49-F238E27FC236}">
              <a16:creationId xmlns:a16="http://schemas.microsoft.com/office/drawing/2014/main" id="{00000000-0008-0000-0700-000072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2</xdr:col>
      <xdr:colOff>0</xdr:colOff>
      <xdr:row>114</xdr:row>
      <xdr:rowOff>0</xdr:rowOff>
    </xdr:from>
    <xdr:ext cx="476250" cy="476250"/>
    <xdr:pic>
      <xdr:nvPicPr>
        <xdr:cNvPr id="115" name="image227.jpg">
          <a:extLst>
            <a:ext uri="{FF2B5EF4-FFF2-40B4-BE49-F238E27FC236}">
              <a16:creationId xmlns:a16="http://schemas.microsoft.com/office/drawing/2014/main" id="{00000000-0008-0000-0700-000073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oneCellAnchor>
    <xdr:from>
      <xdr:col>2</xdr:col>
      <xdr:colOff>0</xdr:colOff>
      <xdr:row>115</xdr:row>
      <xdr:rowOff>0</xdr:rowOff>
    </xdr:from>
    <xdr:ext cx="476250" cy="476250"/>
    <xdr:pic>
      <xdr:nvPicPr>
        <xdr:cNvPr id="116" name="image242.jpg">
          <a:extLst>
            <a:ext uri="{FF2B5EF4-FFF2-40B4-BE49-F238E27FC236}">
              <a16:creationId xmlns:a16="http://schemas.microsoft.com/office/drawing/2014/main" id="{00000000-0008-0000-0700-000074000000}"/>
            </a:ext>
          </a:extLst>
        </xdr:cNvPr>
        <xdr:cNvPicPr preferRelativeResize="0"/>
      </xdr:nvPicPr>
      <xdr:blipFill>
        <a:blip xmlns:r="http://schemas.openxmlformats.org/officeDocument/2006/relationships" r:embed="rId83" cstate="print"/>
        <a:stretch>
          <a:fillRect/>
        </a:stretch>
      </xdr:blipFill>
      <xdr:spPr>
        <a:prstGeom prst="rect">
          <a:avLst/>
        </a:prstGeom>
        <a:noFill/>
      </xdr:spPr>
    </xdr:pic>
    <xdr:clientData fLocksWithSheet="0"/>
  </xdr:oneCellAnchor>
  <xdr:oneCellAnchor>
    <xdr:from>
      <xdr:col>2</xdr:col>
      <xdr:colOff>0</xdr:colOff>
      <xdr:row>116</xdr:row>
      <xdr:rowOff>0</xdr:rowOff>
    </xdr:from>
    <xdr:ext cx="476250" cy="476250"/>
    <xdr:pic>
      <xdr:nvPicPr>
        <xdr:cNvPr id="117" name="image240.jpg">
          <a:extLst>
            <a:ext uri="{FF2B5EF4-FFF2-40B4-BE49-F238E27FC236}">
              <a16:creationId xmlns:a16="http://schemas.microsoft.com/office/drawing/2014/main" id="{00000000-0008-0000-0700-000075000000}"/>
            </a:ext>
          </a:extLst>
        </xdr:cNvPr>
        <xdr:cNvPicPr preferRelativeResize="0"/>
      </xdr:nvPicPr>
      <xdr:blipFill>
        <a:blip xmlns:r="http://schemas.openxmlformats.org/officeDocument/2006/relationships" r:embed="rId84" cstate="print"/>
        <a:stretch>
          <a:fillRect/>
        </a:stretch>
      </xdr:blipFill>
      <xdr:spPr>
        <a:prstGeom prst="rect">
          <a:avLst/>
        </a:prstGeom>
        <a:noFill/>
      </xdr:spPr>
    </xdr:pic>
    <xdr:clientData fLocksWithSheet="0"/>
  </xdr:oneCellAnchor>
  <xdr:oneCellAnchor>
    <xdr:from>
      <xdr:col>2</xdr:col>
      <xdr:colOff>0</xdr:colOff>
      <xdr:row>117</xdr:row>
      <xdr:rowOff>0</xdr:rowOff>
    </xdr:from>
    <xdr:ext cx="476250" cy="476250"/>
    <xdr:pic>
      <xdr:nvPicPr>
        <xdr:cNvPr id="118" name="image252.jpg">
          <a:extLst>
            <a:ext uri="{FF2B5EF4-FFF2-40B4-BE49-F238E27FC236}">
              <a16:creationId xmlns:a16="http://schemas.microsoft.com/office/drawing/2014/main" id="{00000000-0008-0000-0700-000076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2</xdr:col>
      <xdr:colOff>0</xdr:colOff>
      <xdr:row>118</xdr:row>
      <xdr:rowOff>0</xdr:rowOff>
    </xdr:from>
    <xdr:ext cx="476250" cy="476250"/>
    <xdr:pic>
      <xdr:nvPicPr>
        <xdr:cNvPr id="119" name="image235.jpg">
          <a:extLst>
            <a:ext uri="{FF2B5EF4-FFF2-40B4-BE49-F238E27FC236}">
              <a16:creationId xmlns:a16="http://schemas.microsoft.com/office/drawing/2014/main" id="{00000000-0008-0000-0700-000077000000}"/>
            </a:ext>
          </a:extLst>
        </xdr:cNvPr>
        <xdr:cNvPicPr preferRelativeResize="0"/>
      </xdr:nvPicPr>
      <xdr:blipFill>
        <a:blip xmlns:r="http://schemas.openxmlformats.org/officeDocument/2006/relationships" r:embed="rId85" cstate="print"/>
        <a:stretch>
          <a:fillRect/>
        </a:stretch>
      </xdr:blipFill>
      <xdr:spPr>
        <a:prstGeom prst="rect">
          <a:avLst/>
        </a:prstGeom>
        <a:noFill/>
      </xdr:spPr>
    </xdr:pic>
    <xdr:clientData fLocksWithSheet="0"/>
  </xdr:oneCellAnchor>
  <xdr:oneCellAnchor>
    <xdr:from>
      <xdr:col>2</xdr:col>
      <xdr:colOff>0</xdr:colOff>
      <xdr:row>119</xdr:row>
      <xdr:rowOff>0</xdr:rowOff>
    </xdr:from>
    <xdr:ext cx="476250" cy="476250"/>
    <xdr:pic>
      <xdr:nvPicPr>
        <xdr:cNvPr id="120" name="image233.jpg">
          <a:extLst>
            <a:ext uri="{FF2B5EF4-FFF2-40B4-BE49-F238E27FC236}">
              <a16:creationId xmlns:a16="http://schemas.microsoft.com/office/drawing/2014/main" id="{00000000-0008-0000-0700-000078000000}"/>
            </a:ext>
          </a:extLst>
        </xdr:cNvPr>
        <xdr:cNvPicPr preferRelativeResize="0"/>
      </xdr:nvPicPr>
      <xdr:blipFill>
        <a:blip xmlns:r="http://schemas.openxmlformats.org/officeDocument/2006/relationships" r:embed="rId86" cstate="print"/>
        <a:stretch>
          <a:fillRect/>
        </a:stretch>
      </xdr:blipFill>
      <xdr:spPr>
        <a:prstGeom prst="rect">
          <a:avLst/>
        </a:prstGeom>
        <a:noFill/>
      </xdr:spPr>
    </xdr:pic>
    <xdr:clientData fLocksWithSheet="0"/>
  </xdr:oneCellAnchor>
  <xdr:oneCellAnchor>
    <xdr:from>
      <xdr:col>2</xdr:col>
      <xdr:colOff>0</xdr:colOff>
      <xdr:row>120</xdr:row>
      <xdr:rowOff>0</xdr:rowOff>
    </xdr:from>
    <xdr:ext cx="476250" cy="476250"/>
    <xdr:pic>
      <xdr:nvPicPr>
        <xdr:cNvPr id="121" name="image61.jpg">
          <a:extLst>
            <a:ext uri="{FF2B5EF4-FFF2-40B4-BE49-F238E27FC236}">
              <a16:creationId xmlns:a16="http://schemas.microsoft.com/office/drawing/2014/main" id="{00000000-0008-0000-0700-000079000000}"/>
            </a:ext>
          </a:extLst>
        </xdr:cNvPr>
        <xdr:cNvPicPr preferRelativeResize="0"/>
      </xdr:nvPicPr>
      <xdr:blipFill>
        <a:blip xmlns:r="http://schemas.openxmlformats.org/officeDocument/2006/relationships" r:embed="rId87" cstate="print"/>
        <a:stretch>
          <a:fillRect/>
        </a:stretch>
      </xdr:blipFill>
      <xdr:spPr>
        <a:prstGeom prst="rect">
          <a:avLst/>
        </a:prstGeom>
        <a:noFill/>
      </xdr:spPr>
    </xdr:pic>
    <xdr:clientData fLocksWithSheet="0"/>
  </xdr:oneCellAnchor>
  <xdr:oneCellAnchor>
    <xdr:from>
      <xdr:col>2</xdr:col>
      <xdr:colOff>0</xdr:colOff>
      <xdr:row>121</xdr:row>
      <xdr:rowOff>0</xdr:rowOff>
    </xdr:from>
    <xdr:ext cx="476250" cy="476250"/>
    <xdr:pic>
      <xdr:nvPicPr>
        <xdr:cNvPr id="122" name="image250.jpg">
          <a:extLst>
            <a:ext uri="{FF2B5EF4-FFF2-40B4-BE49-F238E27FC236}">
              <a16:creationId xmlns:a16="http://schemas.microsoft.com/office/drawing/2014/main" id="{00000000-0008-0000-0700-00007A000000}"/>
            </a:ext>
          </a:extLst>
        </xdr:cNvPr>
        <xdr:cNvPicPr preferRelativeResize="0"/>
      </xdr:nvPicPr>
      <xdr:blipFill>
        <a:blip xmlns:r="http://schemas.openxmlformats.org/officeDocument/2006/relationships" r:embed="rId88" cstate="print"/>
        <a:stretch>
          <a:fillRect/>
        </a:stretch>
      </xdr:blipFill>
      <xdr:spPr>
        <a:prstGeom prst="rect">
          <a:avLst/>
        </a:prstGeom>
        <a:noFill/>
      </xdr:spPr>
    </xdr:pic>
    <xdr:clientData fLocksWithSheet="0"/>
  </xdr:oneCellAnchor>
  <xdr:oneCellAnchor>
    <xdr:from>
      <xdr:col>2</xdr:col>
      <xdr:colOff>0</xdr:colOff>
      <xdr:row>122</xdr:row>
      <xdr:rowOff>0</xdr:rowOff>
    </xdr:from>
    <xdr:ext cx="476250" cy="476250"/>
    <xdr:pic>
      <xdr:nvPicPr>
        <xdr:cNvPr id="123" name="image26.jpg">
          <a:extLst>
            <a:ext uri="{FF2B5EF4-FFF2-40B4-BE49-F238E27FC236}">
              <a16:creationId xmlns:a16="http://schemas.microsoft.com/office/drawing/2014/main" id="{00000000-0008-0000-0700-00007B000000}"/>
            </a:ext>
          </a:extLst>
        </xdr:cNvPr>
        <xdr:cNvPicPr preferRelativeResize="0"/>
      </xdr:nvPicPr>
      <xdr:blipFill>
        <a:blip xmlns:r="http://schemas.openxmlformats.org/officeDocument/2006/relationships" r:embed="rId89" cstate="print"/>
        <a:stretch>
          <a:fillRect/>
        </a:stretch>
      </xdr:blipFill>
      <xdr:spPr>
        <a:prstGeom prst="rect">
          <a:avLst/>
        </a:prstGeom>
        <a:noFill/>
      </xdr:spPr>
    </xdr:pic>
    <xdr:clientData fLocksWithSheet="0"/>
  </xdr:oneCellAnchor>
  <xdr:oneCellAnchor>
    <xdr:from>
      <xdr:col>2</xdr:col>
      <xdr:colOff>0</xdr:colOff>
      <xdr:row>123</xdr:row>
      <xdr:rowOff>0</xdr:rowOff>
    </xdr:from>
    <xdr:ext cx="476250" cy="476250"/>
    <xdr:pic>
      <xdr:nvPicPr>
        <xdr:cNvPr id="124" name="image77.jpg">
          <a:extLst>
            <a:ext uri="{FF2B5EF4-FFF2-40B4-BE49-F238E27FC236}">
              <a16:creationId xmlns:a16="http://schemas.microsoft.com/office/drawing/2014/main" id="{00000000-0008-0000-0700-00007C000000}"/>
            </a:ext>
          </a:extLst>
        </xdr:cNvPr>
        <xdr:cNvPicPr preferRelativeResize="0"/>
      </xdr:nvPicPr>
      <xdr:blipFill>
        <a:blip xmlns:r="http://schemas.openxmlformats.org/officeDocument/2006/relationships" r:embed="rId90" cstate="print"/>
        <a:stretch>
          <a:fillRect/>
        </a:stretch>
      </xdr:blipFill>
      <xdr:spPr>
        <a:prstGeom prst="rect">
          <a:avLst/>
        </a:prstGeom>
        <a:noFill/>
      </xdr:spPr>
    </xdr:pic>
    <xdr:clientData fLocksWithSheet="0"/>
  </xdr:oneCellAnchor>
  <xdr:oneCellAnchor>
    <xdr:from>
      <xdr:col>2</xdr:col>
      <xdr:colOff>0</xdr:colOff>
      <xdr:row>124</xdr:row>
      <xdr:rowOff>0</xdr:rowOff>
    </xdr:from>
    <xdr:ext cx="476250" cy="476250"/>
    <xdr:pic>
      <xdr:nvPicPr>
        <xdr:cNvPr id="125" name="image127.jpg">
          <a:extLst>
            <a:ext uri="{FF2B5EF4-FFF2-40B4-BE49-F238E27FC236}">
              <a16:creationId xmlns:a16="http://schemas.microsoft.com/office/drawing/2014/main" id="{00000000-0008-0000-0700-00007D000000}"/>
            </a:ext>
          </a:extLst>
        </xdr:cNvPr>
        <xdr:cNvPicPr preferRelativeResize="0"/>
      </xdr:nvPicPr>
      <xdr:blipFill>
        <a:blip xmlns:r="http://schemas.openxmlformats.org/officeDocument/2006/relationships" r:embed="rId91" cstate="print"/>
        <a:stretch>
          <a:fillRect/>
        </a:stretch>
      </xdr:blipFill>
      <xdr:spPr>
        <a:prstGeom prst="rect">
          <a:avLst/>
        </a:prstGeom>
        <a:noFill/>
      </xdr:spPr>
    </xdr:pic>
    <xdr:clientData fLocksWithSheet="0"/>
  </xdr:oneCellAnchor>
  <xdr:oneCellAnchor>
    <xdr:from>
      <xdr:col>2</xdr:col>
      <xdr:colOff>0</xdr:colOff>
      <xdr:row>125</xdr:row>
      <xdr:rowOff>0</xdr:rowOff>
    </xdr:from>
    <xdr:ext cx="476250" cy="476250"/>
    <xdr:pic>
      <xdr:nvPicPr>
        <xdr:cNvPr id="126" name="image155.png">
          <a:extLst>
            <a:ext uri="{FF2B5EF4-FFF2-40B4-BE49-F238E27FC236}">
              <a16:creationId xmlns:a16="http://schemas.microsoft.com/office/drawing/2014/main" id="{00000000-0008-0000-0700-00007E000000}"/>
            </a:ext>
          </a:extLst>
        </xdr:cNvPr>
        <xdr:cNvPicPr preferRelativeResize="0"/>
      </xdr:nvPicPr>
      <xdr:blipFill>
        <a:blip xmlns:r="http://schemas.openxmlformats.org/officeDocument/2006/relationships" r:embed="rId92" cstate="print"/>
        <a:stretch>
          <a:fillRect/>
        </a:stretch>
      </xdr:blipFill>
      <xdr:spPr>
        <a:prstGeom prst="rect">
          <a:avLst/>
        </a:prstGeom>
        <a:noFill/>
      </xdr:spPr>
    </xdr:pic>
    <xdr:clientData fLocksWithSheet="0"/>
  </xdr:oneCellAnchor>
  <xdr:oneCellAnchor>
    <xdr:from>
      <xdr:col>2</xdr:col>
      <xdr:colOff>0</xdr:colOff>
      <xdr:row>126</xdr:row>
      <xdr:rowOff>0</xdr:rowOff>
    </xdr:from>
    <xdr:ext cx="476250" cy="476250"/>
    <xdr:pic>
      <xdr:nvPicPr>
        <xdr:cNvPr id="127" name="image76.jpg">
          <a:extLst>
            <a:ext uri="{FF2B5EF4-FFF2-40B4-BE49-F238E27FC236}">
              <a16:creationId xmlns:a16="http://schemas.microsoft.com/office/drawing/2014/main" id="{00000000-0008-0000-0700-00007F000000}"/>
            </a:ext>
          </a:extLst>
        </xdr:cNvPr>
        <xdr:cNvPicPr preferRelativeResize="0"/>
      </xdr:nvPicPr>
      <xdr:blipFill>
        <a:blip xmlns:r="http://schemas.openxmlformats.org/officeDocument/2006/relationships" r:embed="rId93" cstate="print"/>
        <a:stretch>
          <a:fillRect/>
        </a:stretch>
      </xdr:blipFill>
      <xdr:spPr>
        <a:prstGeom prst="rect">
          <a:avLst/>
        </a:prstGeom>
        <a:noFill/>
      </xdr:spPr>
    </xdr:pic>
    <xdr:clientData fLocksWithSheet="0"/>
  </xdr:oneCellAnchor>
  <xdr:oneCellAnchor>
    <xdr:from>
      <xdr:col>2</xdr:col>
      <xdr:colOff>0</xdr:colOff>
      <xdr:row>127</xdr:row>
      <xdr:rowOff>0</xdr:rowOff>
    </xdr:from>
    <xdr:ext cx="476250" cy="476250"/>
    <xdr:pic>
      <xdr:nvPicPr>
        <xdr:cNvPr id="128" name="image124.jpg">
          <a:extLst>
            <a:ext uri="{FF2B5EF4-FFF2-40B4-BE49-F238E27FC236}">
              <a16:creationId xmlns:a16="http://schemas.microsoft.com/office/drawing/2014/main" id="{00000000-0008-0000-0700-000080000000}"/>
            </a:ext>
          </a:extLst>
        </xdr:cNvPr>
        <xdr:cNvPicPr preferRelativeResize="0"/>
      </xdr:nvPicPr>
      <xdr:blipFill>
        <a:blip xmlns:r="http://schemas.openxmlformats.org/officeDocument/2006/relationships" r:embed="rId94" cstate="print"/>
        <a:stretch>
          <a:fillRect/>
        </a:stretch>
      </xdr:blipFill>
      <xdr:spPr>
        <a:prstGeom prst="rect">
          <a:avLst/>
        </a:prstGeom>
        <a:noFill/>
      </xdr:spPr>
    </xdr:pic>
    <xdr:clientData fLocksWithSheet="0"/>
  </xdr:oneCellAnchor>
  <xdr:oneCellAnchor>
    <xdr:from>
      <xdr:col>2</xdr:col>
      <xdr:colOff>0</xdr:colOff>
      <xdr:row>128</xdr:row>
      <xdr:rowOff>0</xdr:rowOff>
    </xdr:from>
    <xdr:ext cx="476250" cy="476250"/>
    <xdr:pic>
      <xdr:nvPicPr>
        <xdr:cNvPr id="129" name="image49.jpg">
          <a:extLst>
            <a:ext uri="{FF2B5EF4-FFF2-40B4-BE49-F238E27FC236}">
              <a16:creationId xmlns:a16="http://schemas.microsoft.com/office/drawing/2014/main" id="{00000000-0008-0000-0700-000081000000}"/>
            </a:ext>
          </a:extLst>
        </xdr:cNvPr>
        <xdr:cNvPicPr preferRelativeResize="0"/>
      </xdr:nvPicPr>
      <xdr:blipFill>
        <a:blip xmlns:r="http://schemas.openxmlformats.org/officeDocument/2006/relationships" r:embed="rId95" cstate="print"/>
        <a:stretch>
          <a:fillRect/>
        </a:stretch>
      </xdr:blipFill>
      <xdr:spPr>
        <a:prstGeom prst="rect">
          <a:avLst/>
        </a:prstGeom>
        <a:noFill/>
      </xdr:spPr>
    </xdr:pic>
    <xdr:clientData fLocksWithSheet="0"/>
  </xdr:oneCellAnchor>
  <xdr:oneCellAnchor>
    <xdr:from>
      <xdr:col>2</xdr:col>
      <xdr:colOff>0</xdr:colOff>
      <xdr:row>129</xdr:row>
      <xdr:rowOff>0</xdr:rowOff>
    </xdr:from>
    <xdr:ext cx="476250" cy="476250"/>
    <xdr:pic>
      <xdr:nvPicPr>
        <xdr:cNvPr id="130" name="image49.jpg">
          <a:extLst>
            <a:ext uri="{FF2B5EF4-FFF2-40B4-BE49-F238E27FC236}">
              <a16:creationId xmlns:a16="http://schemas.microsoft.com/office/drawing/2014/main" id="{00000000-0008-0000-0700-000082000000}"/>
            </a:ext>
          </a:extLst>
        </xdr:cNvPr>
        <xdr:cNvPicPr preferRelativeResize="0"/>
      </xdr:nvPicPr>
      <xdr:blipFill>
        <a:blip xmlns:r="http://schemas.openxmlformats.org/officeDocument/2006/relationships" r:embed="rId95" cstate="print"/>
        <a:stretch>
          <a:fillRect/>
        </a:stretch>
      </xdr:blipFill>
      <xdr:spPr>
        <a:prstGeom prst="rect">
          <a:avLst/>
        </a:prstGeom>
        <a:noFill/>
      </xdr:spPr>
    </xdr:pic>
    <xdr:clientData fLocksWithSheet="0"/>
  </xdr:oneCellAnchor>
  <xdr:oneCellAnchor>
    <xdr:from>
      <xdr:col>2</xdr:col>
      <xdr:colOff>0</xdr:colOff>
      <xdr:row>130</xdr:row>
      <xdr:rowOff>0</xdr:rowOff>
    </xdr:from>
    <xdr:ext cx="476250" cy="476250"/>
    <xdr:pic>
      <xdr:nvPicPr>
        <xdr:cNvPr id="131" name="image124.jpg">
          <a:extLst>
            <a:ext uri="{FF2B5EF4-FFF2-40B4-BE49-F238E27FC236}">
              <a16:creationId xmlns:a16="http://schemas.microsoft.com/office/drawing/2014/main" id="{00000000-0008-0000-0700-000083000000}"/>
            </a:ext>
          </a:extLst>
        </xdr:cNvPr>
        <xdr:cNvPicPr preferRelativeResize="0"/>
      </xdr:nvPicPr>
      <xdr:blipFill>
        <a:blip xmlns:r="http://schemas.openxmlformats.org/officeDocument/2006/relationships" r:embed="rId94" cstate="print"/>
        <a:stretch>
          <a:fillRect/>
        </a:stretch>
      </xdr:blipFill>
      <xdr:spPr>
        <a:prstGeom prst="rect">
          <a:avLst/>
        </a:prstGeom>
        <a:noFill/>
      </xdr:spPr>
    </xdr:pic>
    <xdr:clientData fLocksWithSheet="0"/>
  </xdr:oneCellAnchor>
  <xdr:oneCellAnchor>
    <xdr:from>
      <xdr:col>2</xdr:col>
      <xdr:colOff>0</xdr:colOff>
      <xdr:row>131</xdr:row>
      <xdr:rowOff>0</xdr:rowOff>
    </xdr:from>
    <xdr:ext cx="476250" cy="476250"/>
    <xdr:pic>
      <xdr:nvPicPr>
        <xdr:cNvPr id="132" name="image147.png">
          <a:extLst>
            <a:ext uri="{FF2B5EF4-FFF2-40B4-BE49-F238E27FC236}">
              <a16:creationId xmlns:a16="http://schemas.microsoft.com/office/drawing/2014/main" id="{00000000-0008-0000-0700-000084000000}"/>
            </a:ext>
          </a:extLst>
        </xdr:cNvPr>
        <xdr:cNvPicPr preferRelativeResize="0"/>
      </xdr:nvPicPr>
      <xdr:blipFill>
        <a:blip xmlns:r="http://schemas.openxmlformats.org/officeDocument/2006/relationships" r:embed="rId96" cstate="print"/>
        <a:stretch>
          <a:fillRect/>
        </a:stretch>
      </xdr:blipFill>
      <xdr:spPr>
        <a:prstGeom prst="rect">
          <a:avLst/>
        </a:prstGeom>
        <a:noFill/>
      </xdr:spPr>
    </xdr:pic>
    <xdr:clientData fLocksWithSheet="0"/>
  </xdr:oneCellAnchor>
  <xdr:oneCellAnchor>
    <xdr:from>
      <xdr:col>2</xdr:col>
      <xdr:colOff>0</xdr:colOff>
      <xdr:row>132</xdr:row>
      <xdr:rowOff>0</xdr:rowOff>
    </xdr:from>
    <xdr:ext cx="476250" cy="476250"/>
    <xdr:pic>
      <xdr:nvPicPr>
        <xdr:cNvPr id="133" name="image251.png">
          <a:extLst>
            <a:ext uri="{FF2B5EF4-FFF2-40B4-BE49-F238E27FC236}">
              <a16:creationId xmlns:a16="http://schemas.microsoft.com/office/drawing/2014/main" id="{00000000-0008-0000-0700-000085000000}"/>
            </a:ext>
          </a:extLst>
        </xdr:cNvPr>
        <xdr:cNvPicPr preferRelativeResize="0"/>
      </xdr:nvPicPr>
      <xdr:blipFill>
        <a:blip xmlns:r="http://schemas.openxmlformats.org/officeDocument/2006/relationships" r:embed="rId97" cstate="print"/>
        <a:stretch>
          <a:fillRect/>
        </a:stretch>
      </xdr:blipFill>
      <xdr:spPr>
        <a:prstGeom prst="rect">
          <a:avLst/>
        </a:prstGeom>
        <a:noFill/>
      </xdr:spPr>
    </xdr:pic>
    <xdr:clientData fLocksWithSheet="0"/>
  </xdr:oneCellAnchor>
  <xdr:oneCellAnchor>
    <xdr:from>
      <xdr:col>2</xdr:col>
      <xdr:colOff>0</xdr:colOff>
      <xdr:row>133</xdr:row>
      <xdr:rowOff>0</xdr:rowOff>
    </xdr:from>
    <xdr:ext cx="476250" cy="476250"/>
    <xdr:pic>
      <xdr:nvPicPr>
        <xdr:cNvPr id="134" name="image147.png">
          <a:extLst>
            <a:ext uri="{FF2B5EF4-FFF2-40B4-BE49-F238E27FC236}">
              <a16:creationId xmlns:a16="http://schemas.microsoft.com/office/drawing/2014/main" id="{00000000-0008-0000-0700-000086000000}"/>
            </a:ext>
          </a:extLst>
        </xdr:cNvPr>
        <xdr:cNvPicPr preferRelativeResize="0"/>
      </xdr:nvPicPr>
      <xdr:blipFill>
        <a:blip xmlns:r="http://schemas.openxmlformats.org/officeDocument/2006/relationships" r:embed="rId96" cstate="print"/>
        <a:stretch>
          <a:fillRect/>
        </a:stretch>
      </xdr:blipFill>
      <xdr:spPr>
        <a:prstGeom prst="rect">
          <a:avLst/>
        </a:prstGeom>
        <a:noFill/>
      </xdr:spPr>
    </xdr:pic>
    <xdr:clientData fLocksWithSheet="0"/>
  </xdr:oneCellAnchor>
  <xdr:oneCellAnchor>
    <xdr:from>
      <xdr:col>2</xdr:col>
      <xdr:colOff>0</xdr:colOff>
      <xdr:row>134</xdr:row>
      <xdr:rowOff>0</xdr:rowOff>
    </xdr:from>
    <xdr:ext cx="476250" cy="476250"/>
    <xdr:pic>
      <xdr:nvPicPr>
        <xdr:cNvPr id="135" name="image249.png">
          <a:extLst>
            <a:ext uri="{FF2B5EF4-FFF2-40B4-BE49-F238E27FC236}">
              <a16:creationId xmlns:a16="http://schemas.microsoft.com/office/drawing/2014/main" id="{00000000-0008-0000-0700-000087000000}"/>
            </a:ext>
          </a:extLst>
        </xdr:cNvPr>
        <xdr:cNvPicPr preferRelativeResize="0"/>
      </xdr:nvPicPr>
      <xdr:blipFill>
        <a:blip xmlns:r="http://schemas.openxmlformats.org/officeDocument/2006/relationships" r:embed="rId98" cstate="print"/>
        <a:stretch>
          <a:fillRect/>
        </a:stretch>
      </xdr:blipFill>
      <xdr:spPr>
        <a:prstGeom prst="rect">
          <a:avLst/>
        </a:prstGeom>
        <a:noFill/>
      </xdr:spPr>
    </xdr:pic>
    <xdr:clientData fLocksWithSheet="0"/>
  </xdr:oneCellAnchor>
  <xdr:oneCellAnchor>
    <xdr:from>
      <xdr:col>2</xdr:col>
      <xdr:colOff>0</xdr:colOff>
      <xdr:row>135</xdr:row>
      <xdr:rowOff>0</xdr:rowOff>
    </xdr:from>
    <xdr:ext cx="476250" cy="476250"/>
    <xdr:pic>
      <xdr:nvPicPr>
        <xdr:cNvPr id="136" name="image243.png">
          <a:extLst>
            <a:ext uri="{FF2B5EF4-FFF2-40B4-BE49-F238E27FC236}">
              <a16:creationId xmlns:a16="http://schemas.microsoft.com/office/drawing/2014/main" id="{00000000-0008-0000-0700-000088000000}"/>
            </a:ext>
          </a:extLst>
        </xdr:cNvPr>
        <xdr:cNvPicPr preferRelativeResize="0"/>
      </xdr:nvPicPr>
      <xdr:blipFill>
        <a:blip xmlns:r="http://schemas.openxmlformats.org/officeDocument/2006/relationships" r:embed="rId99" cstate="print"/>
        <a:stretch>
          <a:fillRect/>
        </a:stretch>
      </xdr:blipFill>
      <xdr:spPr>
        <a:prstGeom prst="rect">
          <a:avLst/>
        </a:prstGeom>
        <a:noFill/>
      </xdr:spPr>
    </xdr:pic>
    <xdr:clientData fLocksWithSheet="0"/>
  </xdr:oneCellAnchor>
  <xdr:oneCellAnchor>
    <xdr:from>
      <xdr:col>2</xdr:col>
      <xdr:colOff>0</xdr:colOff>
      <xdr:row>136</xdr:row>
      <xdr:rowOff>0</xdr:rowOff>
    </xdr:from>
    <xdr:ext cx="476250" cy="476250"/>
    <xdr:pic>
      <xdr:nvPicPr>
        <xdr:cNvPr id="137" name="image244.png">
          <a:extLst>
            <a:ext uri="{FF2B5EF4-FFF2-40B4-BE49-F238E27FC236}">
              <a16:creationId xmlns:a16="http://schemas.microsoft.com/office/drawing/2014/main" id="{00000000-0008-0000-0700-000089000000}"/>
            </a:ext>
          </a:extLst>
        </xdr:cNvPr>
        <xdr:cNvPicPr preferRelativeResize="0"/>
      </xdr:nvPicPr>
      <xdr:blipFill>
        <a:blip xmlns:r="http://schemas.openxmlformats.org/officeDocument/2006/relationships" r:embed="rId100" cstate="print"/>
        <a:stretch>
          <a:fillRect/>
        </a:stretch>
      </xdr:blipFill>
      <xdr:spPr>
        <a:prstGeom prst="rect">
          <a:avLst/>
        </a:prstGeom>
        <a:noFill/>
      </xdr:spPr>
    </xdr:pic>
    <xdr:clientData fLocksWithSheet="0"/>
  </xdr:oneCellAnchor>
  <xdr:oneCellAnchor>
    <xdr:from>
      <xdr:col>2</xdr:col>
      <xdr:colOff>0</xdr:colOff>
      <xdr:row>137</xdr:row>
      <xdr:rowOff>0</xdr:rowOff>
    </xdr:from>
    <xdr:ext cx="476250" cy="476250"/>
    <xdr:pic>
      <xdr:nvPicPr>
        <xdr:cNvPr id="138" name="image247.png">
          <a:extLst>
            <a:ext uri="{FF2B5EF4-FFF2-40B4-BE49-F238E27FC236}">
              <a16:creationId xmlns:a16="http://schemas.microsoft.com/office/drawing/2014/main" id="{00000000-0008-0000-0700-00008A000000}"/>
            </a:ext>
          </a:extLst>
        </xdr:cNvPr>
        <xdr:cNvPicPr preferRelativeResize="0"/>
      </xdr:nvPicPr>
      <xdr:blipFill>
        <a:blip xmlns:r="http://schemas.openxmlformats.org/officeDocument/2006/relationships" r:embed="rId101" cstate="print"/>
        <a:stretch>
          <a:fillRect/>
        </a:stretch>
      </xdr:blipFill>
      <xdr:spPr>
        <a:prstGeom prst="rect">
          <a:avLst/>
        </a:prstGeom>
        <a:noFill/>
      </xdr:spPr>
    </xdr:pic>
    <xdr:clientData fLocksWithSheet="0"/>
  </xdr:oneCellAnchor>
  <xdr:oneCellAnchor>
    <xdr:from>
      <xdr:col>2</xdr:col>
      <xdr:colOff>0</xdr:colOff>
      <xdr:row>138</xdr:row>
      <xdr:rowOff>0</xdr:rowOff>
    </xdr:from>
    <xdr:ext cx="476250" cy="476250"/>
    <xdr:pic>
      <xdr:nvPicPr>
        <xdr:cNvPr id="139" name="image245.png">
          <a:extLst>
            <a:ext uri="{FF2B5EF4-FFF2-40B4-BE49-F238E27FC236}">
              <a16:creationId xmlns:a16="http://schemas.microsoft.com/office/drawing/2014/main" id="{00000000-0008-0000-0700-00008B000000}"/>
            </a:ext>
          </a:extLst>
        </xdr:cNvPr>
        <xdr:cNvPicPr preferRelativeResize="0"/>
      </xdr:nvPicPr>
      <xdr:blipFill>
        <a:blip xmlns:r="http://schemas.openxmlformats.org/officeDocument/2006/relationships" r:embed="rId102" cstate="print"/>
        <a:stretch>
          <a:fillRect/>
        </a:stretch>
      </xdr:blipFill>
      <xdr:spPr>
        <a:prstGeom prst="rect">
          <a:avLst/>
        </a:prstGeom>
        <a:noFill/>
      </xdr:spPr>
    </xdr:pic>
    <xdr:clientData fLocksWithSheet="0"/>
  </xdr:oneCellAnchor>
  <xdr:oneCellAnchor>
    <xdr:from>
      <xdr:col>2</xdr:col>
      <xdr:colOff>0</xdr:colOff>
      <xdr:row>139</xdr:row>
      <xdr:rowOff>0</xdr:rowOff>
    </xdr:from>
    <xdr:ext cx="476250" cy="476250"/>
    <xdr:pic>
      <xdr:nvPicPr>
        <xdr:cNvPr id="140" name="image253.png">
          <a:extLst>
            <a:ext uri="{FF2B5EF4-FFF2-40B4-BE49-F238E27FC236}">
              <a16:creationId xmlns:a16="http://schemas.microsoft.com/office/drawing/2014/main" id="{00000000-0008-0000-0700-00008C000000}"/>
            </a:ext>
          </a:extLst>
        </xdr:cNvPr>
        <xdr:cNvPicPr preferRelativeResize="0"/>
      </xdr:nvPicPr>
      <xdr:blipFill>
        <a:blip xmlns:r="http://schemas.openxmlformats.org/officeDocument/2006/relationships" r:embed="rId103"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1</xdr:col>
      <xdr:colOff>0</xdr:colOff>
      <xdr:row>1</xdr:row>
      <xdr:rowOff>0</xdr:rowOff>
    </xdr:from>
    <xdr:ext cx="381000" cy="381000"/>
    <xdr:pic>
      <xdr:nvPicPr>
        <xdr:cNvPr id="2" name="image162.jpg">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xdr:row>
      <xdr:rowOff>0</xdr:rowOff>
    </xdr:from>
    <xdr:ext cx="381000" cy="381000"/>
    <xdr:pic>
      <xdr:nvPicPr>
        <xdr:cNvPr id="3" name="image153.png">
          <a:extLst>
            <a:ext uri="{FF2B5EF4-FFF2-40B4-BE49-F238E27FC236}">
              <a16:creationId xmlns:a16="http://schemas.microsoft.com/office/drawing/2014/main" id="{00000000-0008-0000-08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1</xdr:row>
      <xdr:rowOff>0</xdr:rowOff>
    </xdr:from>
    <xdr:ext cx="381000" cy="381000"/>
    <xdr:pic>
      <xdr:nvPicPr>
        <xdr:cNvPr id="4" name="image177.png">
          <a:extLst>
            <a:ext uri="{FF2B5EF4-FFF2-40B4-BE49-F238E27FC236}">
              <a16:creationId xmlns:a16="http://schemas.microsoft.com/office/drawing/2014/main" id="{00000000-0008-0000-08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1</xdr:row>
      <xdr:rowOff>0</xdr:rowOff>
    </xdr:from>
    <xdr:ext cx="381000" cy="381000"/>
    <xdr:pic>
      <xdr:nvPicPr>
        <xdr:cNvPr id="5" name="image1.jpg">
          <a:extLst>
            <a:ext uri="{FF2B5EF4-FFF2-40B4-BE49-F238E27FC236}">
              <a16:creationId xmlns:a16="http://schemas.microsoft.com/office/drawing/2014/main" id="{00000000-0008-0000-08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1</xdr:row>
      <xdr:rowOff>0</xdr:rowOff>
    </xdr:from>
    <xdr:ext cx="381000" cy="381000"/>
    <xdr:pic>
      <xdr:nvPicPr>
        <xdr:cNvPr id="6" name="image83.jpg">
          <a:extLst>
            <a:ext uri="{FF2B5EF4-FFF2-40B4-BE49-F238E27FC236}">
              <a16:creationId xmlns:a16="http://schemas.microsoft.com/office/drawing/2014/main" id="{00000000-0008-0000-08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xdr:row>
      <xdr:rowOff>0</xdr:rowOff>
    </xdr:from>
    <xdr:ext cx="381000" cy="381000"/>
    <xdr:pic>
      <xdr:nvPicPr>
        <xdr:cNvPr id="7" name="image162.jpg">
          <a:extLst>
            <a:ext uri="{FF2B5EF4-FFF2-40B4-BE49-F238E27FC236}">
              <a16:creationId xmlns:a16="http://schemas.microsoft.com/office/drawing/2014/main" id="{00000000-0008-0000-0800-00000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xdr:row>
      <xdr:rowOff>0</xdr:rowOff>
    </xdr:from>
    <xdr:ext cx="381000" cy="381000"/>
    <xdr:pic>
      <xdr:nvPicPr>
        <xdr:cNvPr id="8" name="image153.png">
          <a:extLst>
            <a:ext uri="{FF2B5EF4-FFF2-40B4-BE49-F238E27FC236}">
              <a16:creationId xmlns:a16="http://schemas.microsoft.com/office/drawing/2014/main" id="{00000000-0008-0000-0800-000008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xdr:row>
      <xdr:rowOff>0</xdr:rowOff>
    </xdr:from>
    <xdr:ext cx="381000" cy="381000"/>
    <xdr:pic>
      <xdr:nvPicPr>
        <xdr:cNvPr id="9" name="image14.jpg">
          <a:extLst>
            <a:ext uri="{FF2B5EF4-FFF2-40B4-BE49-F238E27FC236}">
              <a16:creationId xmlns:a16="http://schemas.microsoft.com/office/drawing/2014/main" id="{00000000-0008-0000-0800-000009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2</xdr:row>
      <xdr:rowOff>0</xdr:rowOff>
    </xdr:from>
    <xdr:ext cx="381000" cy="381000"/>
    <xdr:pic>
      <xdr:nvPicPr>
        <xdr:cNvPr id="10" name="image26.jpg">
          <a:extLst>
            <a:ext uri="{FF2B5EF4-FFF2-40B4-BE49-F238E27FC236}">
              <a16:creationId xmlns:a16="http://schemas.microsoft.com/office/drawing/2014/main" id="{00000000-0008-0000-0800-00000A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2</xdr:row>
      <xdr:rowOff>0</xdr:rowOff>
    </xdr:from>
    <xdr:ext cx="381000" cy="381000"/>
    <xdr:pic>
      <xdr:nvPicPr>
        <xdr:cNvPr id="11" name="image8.jpg">
          <a:extLst>
            <a:ext uri="{FF2B5EF4-FFF2-40B4-BE49-F238E27FC236}">
              <a16:creationId xmlns:a16="http://schemas.microsoft.com/office/drawing/2014/main" id="{00000000-0008-0000-0800-00000B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3</xdr:row>
      <xdr:rowOff>0</xdr:rowOff>
    </xdr:from>
    <xdr:ext cx="381000" cy="381000"/>
    <xdr:pic>
      <xdr:nvPicPr>
        <xdr:cNvPr id="12" name="image162.jpg">
          <a:extLst>
            <a:ext uri="{FF2B5EF4-FFF2-40B4-BE49-F238E27FC236}">
              <a16:creationId xmlns:a16="http://schemas.microsoft.com/office/drawing/2014/main" id="{00000000-0008-0000-0800-00000C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3</xdr:row>
      <xdr:rowOff>0</xdr:rowOff>
    </xdr:from>
    <xdr:ext cx="381000" cy="381000"/>
    <xdr:pic>
      <xdr:nvPicPr>
        <xdr:cNvPr id="13" name="image153.png">
          <a:extLst>
            <a:ext uri="{FF2B5EF4-FFF2-40B4-BE49-F238E27FC236}">
              <a16:creationId xmlns:a16="http://schemas.microsoft.com/office/drawing/2014/main" id="{00000000-0008-0000-0800-00000D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3</xdr:row>
      <xdr:rowOff>0</xdr:rowOff>
    </xdr:from>
    <xdr:ext cx="381000" cy="381000"/>
    <xdr:pic>
      <xdr:nvPicPr>
        <xdr:cNvPr id="14" name="image177.png">
          <a:extLst>
            <a:ext uri="{FF2B5EF4-FFF2-40B4-BE49-F238E27FC236}">
              <a16:creationId xmlns:a16="http://schemas.microsoft.com/office/drawing/2014/main" id="{00000000-0008-0000-0800-00000E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3</xdr:row>
      <xdr:rowOff>0</xdr:rowOff>
    </xdr:from>
    <xdr:ext cx="381000" cy="381000"/>
    <xdr:pic>
      <xdr:nvPicPr>
        <xdr:cNvPr id="15" name="image1.jpg">
          <a:extLst>
            <a:ext uri="{FF2B5EF4-FFF2-40B4-BE49-F238E27FC236}">
              <a16:creationId xmlns:a16="http://schemas.microsoft.com/office/drawing/2014/main" id="{00000000-0008-0000-0800-00000F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3</xdr:row>
      <xdr:rowOff>0</xdr:rowOff>
    </xdr:from>
    <xdr:ext cx="381000" cy="381000"/>
    <xdr:pic>
      <xdr:nvPicPr>
        <xdr:cNvPr id="16" name="image177.png">
          <a:extLst>
            <a:ext uri="{FF2B5EF4-FFF2-40B4-BE49-F238E27FC236}">
              <a16:creationId xmlns:a16="http://schemas.microsoft.com/office/drawing/2014/main" id="{00000000-0008-0000-0800-000010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4</xdr:row>
      <xdr:rowOff>0</xdr:rowOff>
    </xdr:from>
    <xdr:ext cx="381000" cy="381000"/>
    <xdr:pic>
      <xdr:nvPicPr>
        <xdr:cNvPr id="17" name="image248.jpg">
          <a:extLst>
            <a:ext uri="{FF2B5EF4-FFF2-40B4-BE49-F238E27FC236}">
              <a16:creationId xmlns:a16="http://schemas.microsoft.com/office/drawing/2014/main" id="{00000000-0008-0000-0800-000011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4</xdr:row>
      <xdr:rowOff>0</xdr:rowOff>
    </xdr:from>
    <xdr:ext cx="381000" cy="381000"/>
    <xdr:pic>
      <xdr:nvPicPr>
        <xdr:cNvPr id="18" name="image153.png">
          <a:extLst>
            <a:ext uri="{FF2B5EF4-FFF2-40B4-BE49-F238E27FC236}">
              <a16:creationId xmlns:a16="http://schemas.microsoft.com/office/drawing/2014/main" id="{00000000-0008-0000-0800-00001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4</xdr:row>
      <xdr:rowOff>0</xdr:rowOff>
    </xdr:from>
    <xdr:ext cx="381000" cy="381000"/>
    <xdr:pic>
      <xdr:nvPicPr>
        <xdr:cNvPr id="19" name="image53.jpg">
          <a:extLst>
            <a:ext uri="{FF2B5EF4-FFF2-40B4-BE49-F238E27FC236}">
              <a16:creationId xmlns:a16="http://schemas.microsoft.com/office/drawing/2014/main" id="{00000000-0008-0000-0800-000013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4</xdr:col>
      <xdr:colOff>0</xdr:colOff>
      <xdr:row>4</xdr:row>
      <xdr:rowOff>0</xdr:rowOff>
    </xdr:from>
    <xdr:ext cx="381000" cy="381000"/>
    <xdr:pic>
      <xdr:nvPicPr>
        <xdr:cNvPr id="20" name="image1.jpg">
          <a:extLst>
            <a:ext uri="{FF2B5EF4-FFF2-40B4-BE49-F238E27FC236}">
              <a16:creationId xmlns:a16="http://schemas.microsoft.com/office/drawing/2014/main" id="{00000000-0008-0000-0800-000014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4</xdr:row>
      <xdr:rowOff>0</xdr:rowOff>
    </xdr:from>
    <xdr:ext cx="381000" cy="381000"/>
    <xdr:pic>
      <xdr:nvPicPr>
        <xdr:cNvPr id="21" name="image256.jpg">
          <a:extLst>
            <a:ext uri="{FF2B5EF4-FFF2-40B4-BE49-F238E27FC236}">
              <a16:creationId xmlns:a16="http://schemas.microsoft.com/office/drawing/2014/main" id="{00000000-0008-0000-0800-000015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5</xdr:row>
      <xdr:rowOff>0</xdr:rowOff>
    </xdr:from>
    <xdr:ext cx="381000" cy="381000"/>
    <xdr:pic>
      <xdr:nvPicPr>
        <xdr:cNvPr id="22" name="image189.jpg">
          <a:extLst>
            <a:ext uri="{FF2B5EF4-FFF2-40B4-BE49-F238E27FC236}">
              <a16:creationId xmlns:a16="http://schemas.microsoft.com/office/drawing/2014/main" id="{00000000-0008-0000-0800-000016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5</xdr:row>
      <xdr:rowOff>0</xdr:rowOff>
    </xdr:from>
    <xdr:ext cx="381000" cy="381000"/>
    <xdr:pic>
      <xdr:nvPicPr>
        <xdr:cNvPr id="23" name="image153.png">
          <a:extLst>
            <a:ext uri="{FF2B5EF4-FFF2-40B4-BE49-F238E27FC236}">
              <a16:creationId xmlns:a16="http://schemas.microsoft.com/office/drawing/2014/main" id="{00000000-0008-0000-0800-00001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5</xdr:row>
      <xdr:rowOff>0</xdr:rowOff>
    </xdr:from>
    <xdr:ext cx="381000" cy="381000"/>
    <xdr:pic>
      <xdr:nvPicPr>
        <xdr:cNvPr id="24" name="image14.jpg">
          <a:extLst>
            <a:ext uri="{FF2B5EF4-FFF2-40B4-BE49-F238E27FC236}">
              <a16:creationId xmlns:a16="http://schemas.microsoft.com/office/drawing/2014/main" id="{00000000-0008-0000-0800-00001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5</xdr:row>
      <xdr:rowOff>0</xdr:rowOff>
    </xdr:from>
    <xdr:ext cx="381000" cy="381000"/>
    <xdr:pic>
      <xdr:nvPicPr>
        <xdr:cNvPr id="25" name="image18.jpg">
          <a:extLst>
            <a:ext uri="{FF2B5EF4-FFF2-40B4-BE49-F238E27FC236}">
              <a16:creationId xmlns:a16="http://schemas.microsoft.com/office/drawing/2014/main" id="{00000000-0008-0000-0800-000019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5</xdr:col>
      <xdr:colOff>0</xdr:colOff>
      <xdr:row>5</xdr:row>
      <xdr:rowOff>0</xdr:rowOff>
    </xdr:from>
    <xdr:ext cx="381000" cy="381000"/>
    <xdr:pic>
      <xdr:nvPicPr>
        <xdr:cNvPr id="26" name="image20.png">
          <a:extLst>
            <a:ext uri="{FF2B5EF4-FFF2-40B4-BE49-F238E27FC236}">
              <a16:creationId xmlns:a16="http://schemas.microsoft.com/office/drawing/2014/main" id="{00000000-0008-0000-0800-00001A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6</xdr:row>
      <xdr:rowOff>0</xdr:rowOff>
    </xdr:from>
    <xdr:ext cx="381000" cy="381000"/>
    <xdr:pic>
      <xdr:nvPicPr>
        <xdr:cNvPr id="27" name="image162.jpg">
          <a:extLst>
            <a:ext uri="{FF2B5EF4-FFF2-40B4-BE49-F238E27FC236}">
              <a16:creationId xmlns:a16="http://schemas.microsoft.com/office/drawing/2014/main" id="{00000000-0008-0000-0800-00001B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6</xdr:row>
      <xdr:rowOff>0</xdr:rowOff>
    </xdr:from>
    <xdr:ext cx="381000" cy="381000"/>
    <xdr:pic>
      <xdr:nvPicPr>
        <xdr:cNvPr id="28" name="image153.png">
          <a:extLst>
            <a:ext uri="{FF2B5EF4-FFF2-40B4-BE49-F238E27FC236}">
              <a16:creationId xmlns:a16="http://schemas.microsoft.com/office/drawing/2014/main" id="{00000000-0008-0000-0800-00001C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6</xdr:row>
      <xdr:rowOff>0</xdr:rowOff>
    </xdr:from>
    <xdr:ext cx="381000" cy="381000"/>
    <xdr:pic>
      <xdr:nvPicPr>
        <xdr:cNvPr id="29" name="image14.jpg">
          <a:extLst>
            <a:ext uri="{FF2B5EF4-FFF2-40B4-BE49-F238E27FC236}">
              <a16:creationId xmlns:a16="http://schemas.microsoft.com/office/drawing/2014/main" id="{00000000-0008-0000-0800-00001D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6</xdr:row>
      <xdr:rowOff>0</xdr:rowOff>
    </xdr:from>
    <xdr:ext cx="381000" cy="381000"/>
    <xdr:pic>
      <xdr:nvPicPr>
        <xdr:cNvPr id="30" name="image26.jpg">
          <a:extLst>
            <a:ext uri="{FF2B5EF4-FFF2-40B4-BE49-F238E27FC236}">
              <a16:creationId xmlns:a16="http://schemas.microsoft.com/office/drawing/2014/main" id="{00000000-0008-0000-0800-00001E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6</xdr:row>
      <xdr:rowOff>0</xdr:rowOff>
    </xdr:from>
    <xdr:ext cx="381000" cy="381000"/>
    <xdr:pic>
      <xdr:nvPicPr>
        <xdr:cNvPr id="31" name="image20.png">
          <a:extLst>
            <a:ext uri="{FF2B5EF4-FFF2-40B4-BE49-F238E27FC236}">
              <a16:creationId xmlns:a16="http://schemas.microsoft.com/office/drawing/2014/main" id="{00000000-0008-0000-0800-00001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7</xdr:row>
      <xdr:rowOff>0</xdr:rowOff>
    </xdr:from>
    <xdr:ext cx="381000" cy="381000"/>
    <xdr:pic>
      <xdr:nvPicPr>
        <xdr:cNvPr id="32" name="image255.jpg">
          <a:extLst>
            <a:ext uri="{FF2B5EF4-FFF2-40B4-BE49-F238E27FC236}">
              <a16:creationId xmlns:a16="http://schemas.microsoft.com/office/drawing/2014/main" id="{00000000-0008-0000-0800-00002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7</xdr:row>
      <xdr:rowOff>0</xdr:rowOff>
    </xdr:from>
    <xdr:ext cx="371475" cy="381000"/>
    <xdr:pic>
      <xdr:nvPicPr>
        <xdr:cNvPr id="33" name="image186.png">
          <a:extLst>
            <a:ext uri="{FF2B5EF4-FFF2-40B4-BE49-F238E27FC236}">
              <a16:creationId xmlns:a16="http://schemas.microsoft.com/office/drawing/2014/main" id="{00000000-0008-0000-0800-00002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3</xdr:col>
      <xdr:colOff>0</xdr:colOff>
      <xdr:row>7</xdr:row>
      <xdr:rowOff>0</xdr:rowOff>
    </xdr:from>
    <xdr:ext cx="381000" cy="381000"/>
    <xdr:pic>
      <xdr:nvPicPr>
        <xdr:cNvPr id="34" name="image14.jpg">
          <a:extLst>
            <a:ext uri="{FF2B5EF4-FFF2-40B4-BE49-F238E27FC236}">
              <a16:creationId xmlns:a16="http://schemas.microsoft.com/office/drawing/2014/main" id="{00000000-0008-0000-0800-000022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7</xdr:row>
      <xdr:rowOff>0</xdr:rowOff>
    </xdr:from>
    <xdr:ext cx="381000" cy="381000"/>
    <xdr:pic>
      <xdr:nvPicPr>
        <xdr:cNvPr id="35" name="image26.jpg">
          <a:extLst>
            <a:ext uri="{FF2B5EF4-FFF2-40B4-BE49-F238E27FC236}">
              <a16:creationId xmlns:a16="http://schemas.microsoft.com/office/drawing/2014/main" id="{00000000-0008-0000-0800-000023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7</xdr:row>
      <xdr:rowOff>0</xdr:rowOff>
    </xdr:from>
    <xdr:ext cx="381000" cy="381000"/>
    <xdr:pic>
      <xdr:nvPicPr>
        <xdr:cNvPr id="36" name="image20.png">
          <a:extLst>
            <a:ext uri="{FF2B5EF4-FFF2-40B4-BE49-F238E27FC236}">
              <a16:creationId xmlns:a16="http://schemas.microsoft.com/office/drawing/2014/main" id="{00000000-0008-0000-0800-000024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8</xdr:row>
      <xdr:rowOff>0</xdr:rowOff>
    </xdr:from>
    <xdr:ext cx="381000" cy="381000"/>
    <xdr:pic>
      <xdr:nvPicPr>
        <xdr:cNvPr id="37" name="image255.jpg">
          <a:extLst>
            <a:ext uri="{FF2B5EF4-FFF2-40B4-BE49-F238E27FC236}">
              <a16:creationId xmlns:a16="http://schemas.microsoft.com/office/drawing/2014/main" id="{00000000-0008-0000-0800-000025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8</xdr:row>
      <xdr:rowOff>0</xdr:rowOff>
    </xdr:from>
    <xdr:ext cx="371475" cy="381000"/>
    <xdr:pic>
      <xdr:nvPicPr>
        <xdr:cNvPr id="38" name="image186.png">
          <a:extLst>
            <a:ext uri="{FF2B5EF4-FFF2-40B4-BE49-F238E27FC236}">
              <a16:creationId xmlns:a16="http://schemas.microsoft.com/office/drawing/2014/main" id="{00000000-0008-0000-0800-000026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3</xdr:col>
      <xdr:colOff>0</xdr:colOff>
      <xdr:row>8</xdr:row>
      <xdr:rowOff>0</xdr:rowOff>
    </xdr:from>
    <xdr:ext cx="381000" cy="381000"/>
    <xdr:pic>
      <xdr:nvPicPr>
        <xdr:cNvPr id="39" name="image21.jpg">
          <a:extLst>
            <a:ext uri="{FF2B5EF4-FFF2-40B4-BE49-F238E27FC236}">
              <a16:creationId xmlns:a16="http://schemas.microsoft.com/office/drawing/2014/main" id="{00000000-0008-0000-0800-000027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4</xdr:col>
      <xdr:colOff>0</xdr:colOff>
      <xdr:row>8</xdr:row>
      <xdr:rowOff>0</xdr:rowOff>
    </xdr:from>
    <xdr:ext cx="381000" cy="381000"/>
    <xdr:pic>
      <xdr:nvPicPr>
        <xdr:cNvPr id="40" name="image15.jpg">
          <a:extLst>
            <a:ext uri="{FF2B5EF4-FFF2-40B4-BE49-F238E27FC236}">
              <a16:creationId xmlns:a16="http://schemas.microsoft.com/office/drawing/2014/main" id="{00000000-0008-0000-0800-000028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5</xdr:col>
      <xdr:colOff>0</xdr:colOff>
      <xdr:row>8</xdr:row>
      <xdr:rowOff>0</xdr:rowOff>
    </xdr:from>
    <xdr:ext cx="381000" cy="381000"/>
    <xdr:pic>
      <xdr:nvPicPr>
        <xdr:cNvPr id="41" name="image20.png">
          <a:extLst>
            <a:ext uri="{FF2B5EF4-FFF2-40B4-BE49-F238E27FC236}">
              <a16:creationId xmlns:a16="http://schemas.microsoft.com/office/drawing/2014/main" id="{00000000-0008-0000-0800-000029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9</xdr:row>
      <xdr:rowOff>0</xdr:rowOff>
    </xdr:from>
    <xdr:ext cx="381000" cy="381000"/>
    <xdr:pic>
      <xdr:nvPicPr>
        <xdr:cNvPr id="42" name="image162.jpg">
          <a:extLst>
            <a:ext uri="{FF2B5EF4-FFF2-40B4-BE49-F238E27FC236}">
              <a16:creationId xmlns:a16="http://schemas.microsoft.com/office/drawing/2014/main" id="{00000000-0008-0000-0800-00002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9</xdr:row>
      <xdr:rowOff>0</xdr:rowOff>
    </xdr:from>
    <xdr:ext cx="381000" cy="381000"/>
    <xdr:pic>
      <xdr:nvPicPr>
        <xdr:cNvPr id="43" name="image153.png">
          <a:extLst>
            <a:ext uri="{FF2B5EF4-FFF2-40B4-BE49-F238E27FC236}">
              <a16:creationId xmlns:a16="http://schemas.microsoft.com/office/drawing/2014/main" id="{00000000-0008-0000-0800-00002B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9</xdr:row>
      <xdr:rowOff>0</xdr:rowOff>
    </xdr:from>
    <xdr:ext cx="381000" cy="381000"/>
    <xdr:pic>
      <xdr:nvPicPr>
        <xdr:cNvPr id="44" name="image14.jpg">
          <a:extLst>
            <a:ext uri="{FF2B5EF4-FFF2-40B4-BE49-F238E27FC236}">
              <a16:creationId xmlns:a16="http://schemas.microsoft.com/office/drawing/2014/main" id="{00000000-0008-0000-0800-00002C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9</xdr:row>
      <xdr:rowOff>0</xdr:rowOff>
    </xdr:from>
    <xdr:ext cx="381000" cy="381000"/>
    <xdr:pic>
      <xdr:nvPicPr>
        <xdr:cNvPr id="45" name="image177.png">
          <a:extLst>
            <a:ext uri="{FF2B5EF4-FFF2-40B4-BE49-F238E27FC236}">
              <a16:creationId xmlns:a16="http://schemas.microsoft.com/office/drawing/2014/main" id="{00000000-0008-0000-0800-00002D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9</xdr:row>
      <xdr:rowOff>0</xdr:rowOff>
    </xdr:from>
    <xdr:ext cx="381000" cy="381000"/>
    <xdr:pic>
      <xdr:nvPicPr>
        <xdr:cNvPr id="46" name="image8.jpg">
          <a:extLst>
            <a:ext uri="{FF2B5EF4-FFF2-40B4-BE49-F238E27FC236}">
              <a16:creationId xmlns:a16="http://schemas.microsoft.com/office/drawing/2014/main" id="{00000000-0008-0000-0800-00002E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xdr:row>
      <xdr:rowOff>0</xdr:rowOff>
    </xdr:from>
    <xdr:ext cx="381000" cy="381000"/>
    <xdr:pic>
      <xdr:nvPicPr>
        <xdr:cNvPr id="47" name="image162.jpg">
          <a:extLst>
            <a:ext uri="{FF2B5EF4-FFF2-40B4-BE49-F238E27FC236}">
              <a16:creationId xmlns:a16="http://schemas.microsoft.com/office/drawing/2014/main" id="{00000000-0008-0000-0800-00002F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10</xdr:row>
      <xdr:rowOff>0</xdr:rowOff>
    </xdr:from>
    <xdr:ext cx="381000" cy="381000"/>
    <xdr:pic>
      <xdr:nvPicPr>
        <xdr:cNvPr id="48" name="image153.png">
          <a:extLst>
            <a:ext uri="{FF2B5EF4-FFF2-40B4-BE49-F238E27FC236}">
              <a16:creationId xmlns:a16="http://schemas.microsoft.com/office/drawing/2014/main" id="{00000000-0008-0000-0800-000030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10</xdr:row>
      <xdr:rowOff>0</xdr:rowOff>
    </xdr:from>
    <xdr:ext cx="381000" cy="381000"/>
    <xdr:pic>
      <xdr:nvPicPr>
        <xdr:cNvPr id="49" name="image177.png">
          <a:extLst>
            <a:ext uri="{FF2B5EF4-FFF2-40B4-BE49-F238E27FC236}">
              <a16:creationId xmlns:a16="http://schemas.microsoft.com/office/drawing/2014/main" id="{00000000-0008-0000-0800-000031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10</xdr:row>
      <xdr:rowOff>0</xdr:rowOff>
    </xdr:from>
    <xdr:ext cx="381000" cy="381000"/>
    <xdr:pic>
      <xdr:nvPicPr>
        <xdr:cNvPr id="50" name="image1.jpg">
          <a:extLst>
            <a:ext uri="{FF2B5EF4-FFF2-40B4-BE49-F238E27FC236}">
              <a16:creationId xmlns:a16="http://schemas.microsoft.com/office/drawing/2014/main" id="{00000000-0008-0000-0800-000032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10</xdr:row>
      <xdr:rowOff>0</xdr:rowOff>
    </xdr:from>
    <xdr:ext cx="381000" cy="381000"/>
    <xdr:pic>
      <xdr:nvPicPr>
        <xdr:cNvPr id="51" name="image180.jpg">
          <a:extLst>
            <a:ext uri="{FF2B5EF4-FFF2-40B4-BE49-F238E27FC236}">
              <a16:creationId xmlns:a16="http://schemas.microsoft.com/office/drawing/2014/main" id="{00000000-0008-0000-0800-000033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11</xdr:row>
      <xdr:rowOff>0</xdr:rowOff>
    </xdr:from>
    <xdr:ext cx="381000" cy="381000"/>
    <xdr:pic>
      <xdr:nvPicPr>
        <xdr:cNvPr id="52" name="image248.jpg">
          <a:extLst>
            <a:ext uri="{FF2B5EF4-FFF2-40B4-BE49-F238E27FC236}">
              <a16:creationId xmlns:a16="http://schemas.microsoft.com/office/drawing/2014/main" id="{00000000-0008-0000-0800-000034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11</xdr:row>
      <xdr:rowOff>0</xdr:rowOff>
    </xdr:from>
    <xdr:ext cx="381000" cy="381000"/>
    <xdr:pic>
      <xdr:nvPicPr>
        <xdr:cNvPr id="53" name="image153.png">
          <a:extLst>
            <a:ext uri="{FF2B5EF4-FFF2-40B4-BE49-F238E27FC236}">
              <a16:creationId xmlns:a16="http://schemas.microsoft.com/office/drawing/2014/main" id="{00000000-0008-0000-0800-00003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11</xdr:row>
      <xdr:rowOff>0</xdr:rowOff>
    </xdr:from>
    <xdr:ext cx="381000" cy="381000"/>
    <xdr:pic>
      <xdr:nvPicPr>
        <xdr:cNvPr id="54" name="image53.jpg">
          <a:extLst>
            <a:ext uri="{FF2B5EF4-FFF2-40B4-BE49-F238E27FC236}">
              <a16:creationId xmlns:a16="http://schemas.microsoft.com/office/drawing/2014/main" id="{00000000-0008-0000-0800-000036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4</xdr:col>
      <xdr:colOff>0</xdr:colOff>
      <xdr:row>11</xdr:row>
      <xdr:rowOff>0</xdr:rowOff>
    </xdr:from>
    <xdr:ext cx="381000" cy="381000"/>
    <xdr:pic>
      <xdr:nvPicPr>
        <xdr:cNvPr id="55" name="image113.jpg">
          <a:extLst>
            <a:ext uri="{FF2B5EF4-FFF2-40B4-BE49-F238E27FC236}">
              <a16:creationId xmlns:a16="http://schemas.microsoft.com/office/drawing/2014/main" id="{00000000-0008-0000-0800-000037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5</xdr:col>
      <xdr:colOff>0</xdr:colOff>
      <xdr:row>11</xdr:row>
      <xdr:rowOff>0</xdr:rowOff>
    </xdr:from>
    <xdr:ext cx="381000" cy="381000"/>
    <xdr:pic>
      <xdr:nvPicPr>
        <xdr:cNvPr id="56" name="image256.jpg">
          <a:extLst>
            <a:ext uri="{FF2B5EF4-FFF2-40B4-BE49-F238E27FC236}">
              <a16:creationId xmlns:a16="http://schemas.microsoft.com/office/drawing/2014/main" id="{00000000-0008-0000-0800-000038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12</xdr:row>
      <xdr:rowOff>0</xdr:rowOff>
    </xdr:from>
    <xdr:ext cx="381000" cy="381000"/>
    <xdr:pic>
      <xdr:nvPicPr>
        <xdr:cNvPr id="57" name="image248.jpg">
          <a:extLst>
            <a:ext uri="{FF2B5EF4-FFF2-40B4-BE49-F238E27FC236}">
              <a16:creationId xmlns:a16="http://schemas.microsoft.com/office/drawing/2014/main" id="{00000000-0008-0000-0800-000039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12</xdr:row>
      <xdr:rowOff>0</xdr:rowOff>
    </xdr:from>
    <xdr:ext cx="381000" cy="381000"/>
    <xdr:pic>
      <xdr:nvPicPr>
        <xdr:cNvPr id="58" name="image153.png">
          <a:extLst>
            <a:ext uri="{FF2B5EF4-FFF2-40B4-BE49-F238E27FC236}">
              <a16:creationId xmlns:a16="http://schemas.microsoft.com/office/drawing/2014/main" id="{00000000-0008-0000-0800-00003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12</xdr:row>
      <xdr:rowOff>0</xdr:rowOff>
    </xdr:from>
    <xdr:ext cx="381000" cy="381000"/>
    <xdr:pic>
      <xdr:nvPicPr>
        <xdr:cNvPr id="59" name="image188.jpg">
          <a:extLst>
            <a:ext uri="{FF2B5EF4-FFF2-40B4-BE49-F238E27FC236}">
              <a16:creationId xmlns:a16="http://schemas.microsoft.com/office/drawing/2014/main" id="{00000000-0008-0000-0800-00003B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4</xdr:col>
      <xdr:colOff>0</xdr:colOff>
      <xdr:row>12</xdr:row>
      <xdr:rowOff>0</xdr:rowOff>
    </xdr:from>
    <xdr:ext cx="381000" cy="381000"/>
    <xdr:pic>
      <xdr:nvPicPr>
        <xdr:cNvPr id="60" name="image1.jpg">
          <a:extLst>
            <a:ext uri="{FF2B5EF4-FFF2-40B4-BE49-F238E27FC236}">
              <a16:creationId xmlns:a16="http://schemas.microsoft.com/office/drawing/2014/main" id="{00000000-0008-0000-0800-00003C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12</xdr:row>
      <xdr:rowOff>0</xdr:rowOff>
    </xdr:from>
    <xdr:ext cx="381000" cy="381000"/>
    <xdr:pic>
      <xdr:nvPicPr>
        <xdr:cNvPr id="61" name="image194.jpg">
          <a:extLst>
            <a:ext uri="{FF2B5EF4-FFF2-40B4-BE49-F238E27FC236}">
              <a16:creationId xmlns:a16="http://schemas.microsoft.com/office/drawing/2014/main" id="{00000000-0008-0000-0800-00003D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13</xdr:row>
      <xdr:rowOff>0</xdr:rowOff>
    </xdr:from>
    <xdr:ext cx="381000" cy="381000"/>
    <xdr:pic>
      <xdr:nvPicPr>
        <xdr:cNvPr id="62" name="image255.jpg">
          <a:extLst>
            <a:ext uri="{FF2B5EF4-FFF2-40B4-BE49-F238E27FC236}">
              <a16:creationId xmlns:a16="http://schemas.microsoft.com/office/drawing/2014/main" id="{00000000-0008-0000-0800-00003E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13</xdr:row>
      <xdr:rowOff>0</xdr:rowOff>
    </xdr:from>
    <xdr:ext cx="371475" cy="381000"/>
    <xdr:pic>
      <xdr:nvPicPr>
        <xdr:cNvPr id="63" name="image186.png">
          <a:extLst>
            <a:ext uri="{FF2B5EF4-FFF2-40B4-BE49-F238E27FC236}">
              <a16:creationId xmlns:a16="http://schemas.microsoft.com/office/drawing/2014/main" id="{00000000-0008-0000-0800-00003F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3</xdr:col>
      <xdr:colOff>0</xdr:colOff>
      <xdr:row>13</xdr:row>
      <xdr:rowOff>0</xdr:rowOff>
    </xdr:from>
    <xdr:ext cx="381000" cy="381000"/>
    <xdr:pic>
      <xdr:nvPicPr>
        <xdr:cNvPr id="64" name="image14.jpg">
          <a:extLst>
            <a:ext uri="{FF2B5EF4-FFF2-40B4-BE49-F238E27FC236}">
              <a16:creationId xmlns:a16="http://schemas.microsoft.com/office/drawing/2014/main" id="{00000000-0008-0000-0800-000040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13</xdr:row>
      <xdr:rowOff>0</xdr:rowOff>
    </xdr:from>
    <xdr:ext cx="381000" cy="381000"/>
    <xdr:pic>
      <xdr:nvPicPr>
        <xdr:cNvPr id="65" name="image26.jpg">
          <a:extLst>
            <a:ext uri="{FF2B5EF4-FFF2-40B4-BE49-F238E27FC236}">
              <a16:creationId xmlns:a16="http://schemas.microsoft.com/office/drawing/2014/main" id="{00000000-0008-0000-0800-000041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13</xdr:row>
      <xdr:rowOff>0</xdr:rowOff>
    </xdr:from>
    <xdr:ext cx="381000" cy="381000"/>
    <xdr:pic>
      <xdr:nvPicPr>
        <xdr:cNvPr id="66" name="image20.png">
          <a:extLst>
            <a:ext uri="{FF2B5EF4-FFF2-40B4-BE49-F238E27FC236}">
              <a16:creationId xmlns:a16="http://schemas.microsoft.com/office/drawing/2014/main" id="{00000000-0008-0000-0800-000042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14</xdr:row>
      <xdr:rowOff>0</xdr:rowOff>
    </xdr:from>
    <xdr:ext cx="381000" cy="381000"/>
    <xdr:pic>
      <xdr:nvPicPr>
        <xdr:cNvPr id="67" name="image202.jpg">
          <a:extLst>
            <a:ext uri="{FF2B5EF4-FFF2-40B4-BE49-F238E27FC236}">
              <a16:creationId xmlns:a16="http://schemas.microsoft.com/office/drawing/2014/main" id="{00000000-0008-0000-0800-000043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14</xdr:row>
      <xdr:rowOff>0</xdr:rowOff>
    </xdr:from>
    <xdr:ext cx="381000" cy="381000"/>
    <xdr:pic>
      <xdr:nvPicPr>
        <xdr:cNvPr id="68" name="image220.png">
          <a:extLst>
            <a:ext uri="{FF2B5EF4-FFF2-40B4-BE49-F238E27FC236}">
              <a16:creationId xmlns:a16="http://schemas.microsoft.com/office/drawing/2014/main" id="{00000000-0008-0000-0800-000044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3</xdr:col>
      <xdr:colOff>0</xdr:colOff>
      <xdr:row>14</xdr:row>
      <xdr:rowOff>0</xdr:rowOff>
    </xdr:from>
    <xdr:ext cx="381000" cy="381000"/>
    <xdr:pic>
      <xdr:nvPicPr>
        <xdr:cNvPr id="69" name="image36.jpg">
          <a:extLst>
            <a:ext uri="{FF2B5EF4-FFF2-40B4-BE49-F238E27FC236}">
              <a16:creationId xmlns:a16="http://schemas.microsoft.com/office/drawing/2014/main" id="{00000000-0008-0000-0800-000045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4</xdr:col>
      <xdr:colOff>0</xdr:colOff>
      <xdr:row>14</xdr:row>
      <xdr:rowOff>0</xdr:rowOff>
    </xdr:from>
    <xdr:ext cx="381000" cy="381000"/>
    <xdr:pic>
      <xdr:nvPicPr>
        <xdr:cNvPr id="70" name="image17.jpg">
          <a:extLst>
            <a:ext uri="{FF2B5EF4-FFF2-40B4-BE49-F238E27FC236}">
              <a16:creationId xmlns:a16="http://schemas.microsoft.com/office/drawing/2014/main" id="{00000000-0008-0000-0800-000046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5</xdr:col>
      <xdr:colOff>0</xdr:colOff>
      <xdr:row>14</xdr:row>
      <xdr:rowOff>0</xdr:rowOff>
    </xdr:from>
    <xdr:ext cx="381000" cy="381000"/>
    <xdr:pic>
      <xdr:nvPicPr>
        <xdr:cNvPr id="71" name="image20.png">
          <a:extLst>
            <a:ext uri="{FF2B5EF4-FFF2-40B4-BE49-F238E27FC236}">
              <a16:creationId xmlns:a16="http://schemas.microsoft.com/office/drawing/2014/main" id="{00000000-0008-0000-0800-000047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15</xdr:row>
      <xdr:rowOff>0</xdr:rowOff>
    </xdr:from>
    <xdr:ext cx="381000" cy="381000"/>
    <xdr:pic>
      <xdr:nvPicPr>
        <xdr:cNvPr id="72" name="image201.jpg">
          <a:extLst>
            <a:ext uri="{FF2B5EF4-FFF2-40B4-BE49-F238E27FC236}">
              <a16:creationId xmlns:a16="http://schemas.microsoft.com/office/drawing/2014/main" id="{00000000-0008-0000-0800-000048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15</xdr:row>
      <xdr:rowOff>0</xdr:rowOff>
    </xdr:from>
    <xdr:ext cx="381000" cy="381000"/>
    <xdr:pic>
      <xdr:nvPicPr>
        <xdr:cNvPr id="73" name="image196.png">
          <a:extLst>
            <a:ext uri="{FF2B5EF4-FFF2-40B4-BE49-F238E27FC236}">
              <a16:creationId xmlns:a16="http://schemas.microsoft.com/office/drawing/2014/main" id="{00000000-0008-0000-0800-000049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3</xdr:col>
      <xdr:colOff>0</xdr:colOff>
      <xdr:row>15</xdr:row>
      <xdr:rowOff>0</xdr:rowOff>
    </xdr:from>
    <xdr:ext cx="381000" cy="381000"/>
    <xdr:pic>
      <xdr:nvPicPr>
        <xdr:cNvPr id="74" name="image97.jpg">
          <a:extLst>
            <a:ext uri="{FF2B5EF4-FFF2-40B4-BE49-F238E27FC236}">
              <a16:creationId xmlns:a16="http://schemas.microsoft.com/office/drawing/2014/main" id="{00000000-0008-0000-0800-00004A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4</xdr:col>
      <xdr:colOff>0</xdr:colOff>
      <xdr:row>15</xdr:row>
      <xdr:rowOff>0</xdr:rowOff>
    </xdr:from>
    <xdr:ext cx="381000" cy="381000"/>
    <xdr:pic>
      <xdr:nvPicPr>
        <xdr:cNvPr id="75" name="image254.jpg">
          <a:extLst>
            <a:ext uri="{FF2B5EF4-FFF2-40B4-BE49-F238E27FC236}">
              <a16:creationId xmlns:a16="http://schemas.microsoft.com/office/drawing/2014/main" id="{00000000-0008-0000-0800-00004B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5</xdr:col>
      <xdr:colOff>0</xdr:colOff>
      <xdr:row>15</xdr:row>
      <xdr:rowOff>0</xdr:rowOff>
    </xdr:from>
    <xdr:ext cx="381000" cy="381000"/>
    <xdr:pic>
      <xdr:nvPicPr>
        <xdr:cNvPr id="76" name="image20.png">
          <a:extLst>
            <a:ext uri="{FF2B5EF4-FFF2-40B4-BE49-F238E27FC236}">
              <a16:creationId xmlns:a16="http://schemas.microsoft.com/office/drawing/2014/main" id="{00000000-0008-0000-0800-00004C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16</xdr:row>
      <xdr:rowOff>0</xdr:rowOff>
    </xdr:from>
    <xdr:ext cx="381000" cy="381000"/>
    <xdr:pic>
      <xdr:nvPicPr>
        <xdr:cNvPr id="77" name="image189.jpg">
          <a:extLst>
            <a:ext uri="{FF2B5EF4-FFF2-40B4-BE49-F238E27FC236}">
              <a16:creationId xmlns:a16="http://schemas.microsoft.com/office/drawing/2014/main" id="{00000000-0008-0000-0800-00004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16</xdr:row>
      <xdr:rowOff>0</xdr:rowOff>
    </xdr:from>
    <xdr:ext cx="381000" cy="381000"/>
    <xdr:pic>
      <xdr:nvPicPr>
        <xdr:cNvPr id="78" name="image154.png">
          <a:extLst>
            <a:ext uri="{FF2B5EF4-FFF2-40B4-BE49-F238E27FC236}">
              <a16:creationId xmlns:a16="http://schemas.microsoft.com/office/drawing/2014/main" id="{00000000-0008-0000-0800-00004E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3</xdr:col>
      <xdr:colOff>0</xdr:colOff>
      <xdr:row>16</xdr:row>
      <xdr:rowOff>0</xdr:rowOff>
    </xdr:from>
    <xdr:ext cx="381000" cy="381000"/>
    <xdr:pic>
      <xdr:nvPicPr>
        <xdr:cNvPr id="79" name="image48.jpg">
          <a:extLst>
            <a:ext uri="{FF2B5EF4-FFF2-40B4-BE49-F238E27FC236}">
              <a16:creationId xmlns:a16="http://schemas.microsoft.com/office/drawing/2014/main" id="{00000000-0008-0000-0800-00004F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4</xdr:col>
      <xdr:colOff>0</xdr:colOff>
      <xdr:row>16</xdr:row>
      <xdr:rowOff>0</xdr:rowOff>
    </xdr:from>
    <xdr:ext cx="381000" cy="381000"/>
    <xdr:pic>
      <xdr:nvPicPr>
        <xdr:cNvPr id="80" name="image46.jpg">
          <a:extLst>
            <a:ext uri="{FF2B5EF4-FFF2-40B4-BE49-F238E27FC236}">
              <a16:creationId xmlns:a16="http://schemas.microsoft.com/office/drawing/2014/main" id="{00000000-0008-0000-0800-000050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5</xdr:col>
      <xdr:colOff>0</xdr:colOff>
      <xdr:row>16</xdr:row>
      <xdr:rowOff>0</xdr:rowOff>
    </xdr:from>
    <xdr:ext cx="381000" cy="381000"/>
    <xdr:pic>
      <xdr:nvPicPr>
        <xdr:cNvPr id="81" name="image22.jpg">
          <a:extLst>
            <a:ext uri="{FF2B5EF4-FFF2-40B4-BE49-F238E27FC236}">
              <a16:creationId xmlns:a16="http://schemas.microsoft.com/office/drawing/2014/main" id="{00000000-0008-0000-0800-000051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xdr:col>
      <xdr:colOff>0</xdr:colOff>
      <xdr:row>17</xdr:row>
      <xdr:rowOff>0</xdr:rowOff>
    </xdr:from>
    <xdr:ext cx="381000" cy="381000"/>
    <xdr:pic>
      <xdr:nvPicPr>
        <xdr:cNvPr id="82" name="image202.jpg">
          <a:extLst>
            <a:ext uri="{FF2B5EF4-FFF2-40B4-BE49-F238E27FC236}">
              <a16:creationId xmlns:a16="http://schemas.microsoft.com/office/drawing/2014/main" id="{00000000-0008-0000-0800-000052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17</xdr:row>
      <xdr:rowOff>0</xdr:rowOff>
    </xdr:from>
    <xdr:ext cx="381000" cy="381000"/>
    <xdr:pic>
      <xdr:nvPicPr>
        <xdr:cNvPr id="83" name="image153.png">
          <a:extLst>
            <a:ext uri="{FF2B5EF4-FFF2-40B4-BE49-F238E27FC236}">
              <a16:creationId xmlns:a16="http://schemas.microsoft.com/office/drawing/2014/main" id="{00000000-0008-0000-0800-00005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17</xdr:row>
      <xdr:rowOff>0</xdr:rowOff>
    </xdr:from>
    <xdr:ext cx="381000" cy="381000"/>
    <xdr:pic>
      <xdr:nvPicPr>
        <xdr:cNvPr id="84" name="image36.jpg">
          <a:extLst>
            <a:ext uri="{FF2B5EF4-FFF2-40B4-BE49-F238E27FC236}">
              <a16:creationId xmlns:a16="http://schemas.microsoft.com/office/drawing/2014/main" id="{00000000-0008-0000-0800-000054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4</xdr:col>
      <xdr:colOff>0</xdr:colOff>
      <xdr:row>17</xdr:row>
      <xdr:rowOff>0</xdr:rowOff>
    </xdr:from>
    <xdr:ext cx="381000" cy="381000"/>
    <xdr:pic>
      <xdr:nvPicPr>
        <xdr:cNvPr id="85" name="image17.jpg">
          <a:extLst>
            <a:ext uri="{FF2B5EF4-FFF2-40B4-BE49-F238E27FC236}">
              <a16:creationId xmlns:a16="http://schemas.microsoft.com/office/drawing/2014/main" id="{00000000-0008-0000-0800-000055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5</xdr:col>
      <xdr:colOff>0</xdr:colOff>
      <xdr:row>17</xdr:row>
      <xdr:rowOff>0</xdr:rowOff>
    </xdr:from>
    <xdr:ext cx="381000" cy="381000"/>
    <xdr:pic>
      <xdr:nvPicPr>
        <xdr:cNvPr id="86" name="image20.png">
          <a:extLst>
            <a:ext uri="{FF2B5EF4-FFF2-40B4-BE49-F238E27FC236}">
              <a16:creationId xmlns:a16="http://schemas.microsoft.com/office/drawing/2014/main" id="{00000000-0008-0000-0800-000056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18</xdr:row>
      <xdr:rowOff>0</xdr:rowOff>
    </xdr:from>
    <xdr:ext cx="381000" cy="381000"/>
    <xdr:pic>
      <xdr:nvPicPr>
        <xdr:cNvPr id="87" name="image162.jpg">
          <a:extLst>
            <a:ext uri="{FF2B5EF4-FFF2-40B4-BE49-F238E27FC236}">
              <a16:creationId xmlns:a16="http://schemas.microsoft.com/office/drawing/2014/main" id="{00000000-0008-0000-0800-00005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18</xdr:row>
      <xdr:rowOff>0</xdr:rowOff>
    </xdr:from>
    <xdr:ext cx="381000" cy="381000"/>
    <xdr:pic>
      <xdr:nvPicPr>
        <xdr:cNvPr id="88" name="image153.png">
          <a:extLst>
            <a:ext uri="{FF2B5EF4-FFF2-40B4-BE49-F238E27FC236}">
              <a16:creationId xmlns:a16="http://schemas.microsoft.com/office/drawing/2014/main" id="{00000000-0008-0000-0800-000058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18</xdr:row>
      <xdr:rowOff>0</xdr:rowOff>
    </xdr:from>
    <xdr:ext cx="381000" cy="381000"/>
    <xdr:pic>
      <xdr:nvPicPr>
        <xdr:cNvPr id="89" name="image177.png">
          <a:extLst>
            <a:ext uri="{FF2B5EF4-FFF2-40B4-BE49-F238E27FC236}">
              <a16:creationId xmlns:a16="http://schemas.microsoft.com/office/drawing/2014/main" id="{00000000-0008-0000-0800-000059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18</xdr:row>
      <xdr:rowOff>0</xdr:rowOff>
    </xdr:from>
    <xdr:ext cx="381000" cy="381000"/>
    <xdr:pic>
      <xdr:nvPicPr>
        <xdr:cNvPr id="90" name="image177.png">
          <a:extLst>
            <a:ext uri="{FF2B5EF4-FFF2-40B4-BE49-F238E27FC236}">
              <a16:creationId xmlns:a16="http://schemas.microsoft.com/office/drawing/2014/main" id="{00000000-0008-0000-0800-00005A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18</xdr:row>
      <xdr:rowOff>0</xdr:rowOff>
    </xdr:from>
    <xdr:ext cx="381000" cy="381000"/>
    <xdr:pic>
      <xdr:nvPicPr>
        <xdr:cNvPr id="91" name="image78.jpg">
          <a:extLst>
            <a:ext uri="{FF2B5EF4-FFF2-40B4-BE49-F238E27FC236}">
              <a16:creationId xmlns:a16="http://schemas.microsoft.com/office/drawing/2014/main" id="{00000000-0008-0000-0800-00005B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19</xdr:row>
      <xdr:rowOff>0</xdr:rowOff>
    </xdr:from>
    <xdr:ext cx="381000" cy="381000"/>
    <xdr:pic>
      <xdr:nvPicPr>
        <xdr:cNvPr id="92" name="image248.jpg">
          <a:extLst>
            <a:ext uri="{FF2B5EF4-FFF2-40B4-BE49-F238E27FC236}">
              <a16:creationId xmlns:a16="http://schemas.microsoft.com/office/drawing/2014/main" id="{00000000-0008-0000-0800-00005C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19</xdr:row>
      <xdr:rowOff>0</xdr:rowOff>
    </xdr:from>
    <xdr:ext cx="381000" cy="381000"/>
    <xdr:pic>
      <xdr:nvPicPr>
        <xdr:cNvPr id="93" name="image153.png">
          <a:extLst>
            <a:ext uri="{FF2B5EF4-FFF2-40B4-BE49-F238E27FC236}">
              <a16:creationId xmlns:a16="http://schemas.microsoft.com/office/drawing/2014/main" id="{00000000-0008-0000-0800-00005D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19</xdr:row>
      <xdr:rowOff>0</xdr:rowOff>
    </xdr:from>
    <xdr:ext cx="381000" cy="381000"/>
    <xdr:pic>
      <xdr:nvPicPr>
        <xdr:cNvPr id="94" name="image177.png">
          <a:extLst>
            <a:ext uri="{FF2B5EF4-FFF2-40B4-BE49-F238E27FC236}">
              <a16:creationId xmlns:a16="http://schemas.microsoft.com/office/drawing/2014/main" id="{00000000-0008-0000-0800-00005E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19</xdr:row>
      <xdr:rowOff>0</xdr:rowOff>
    </xdr:from>
    <xdr:ext cx="381000" cy="381000"/>
    <xdr:pic>
      <xdr:nvPicPr>
        <xdr:cNvPr id="95" name="image177.png">
          <a:extLst>
            <a:ext uri="{FF2B5EF4-FFF2-40B4-BE49-F238E27FC236}">
              <a16:creationId xmlns:a16="http://schemas.microsoft.com/office/drawing/2014/main" id="{00000000-0008-0000-0800-00005F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19</xdr:row>
      <xdr:rowOff>0</xdr:rowOff>
    </xdr:from>
    <xdr:ext cx="381000" cy="381000"/>
    <xdr:pic>
      <xdr:nvPicPr>
        <xdr:cNvPr id="96" name="image109.jpg">
          <a:extLst>
            <a:ext uri="{FF2B5EF4-FFF2-40B4-BE49-F238E27FC236}">
              <a16:creationId xmlns:a16="http://schemas.microsoft.com/office/drawing/2014/main" id="{00000000-0008-0000-0800-000060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20</xdr:row>
      <xdr:rowOff>0</xdr:rowOff>
    </xdr:from>
    <xdr:ext cx="381000" cy="381000"/>
    <xdr:pic>
      <xdr:nvPicPr>
        <xdr:cNvPr id="97" name="image162.jpg">
          <a:extLst>
            <a:ext uri="{FF2B5EF4-FFF2-40B4-BE49-F238E27FC236}">
              <a16:creationId xmlns:a16="http://schemas.microsoft.com/office/drawing/2014/main" id="{00000000-0008-0000-0800-000061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20</xdr:row>
      <xdr:rowOff>0</xdr:rowOff>
    </xdr:from>
    <xdr:ext cx="381000" cy="381000"/>
    <xdr:pic>
      <xdr:nvPicPr>
        <xdr:cNvPr id="98" name="image153.png">
          <a:extLst>
            <a:ext uri="{FF2B5EF4-FFF2-40B4-BE49-F238E27FC236}">
              <a16:creationId xmlns:a16="http://schemas.microsoft.com/office/drawing/2014/main" id="{00000000-0008-0000-0800-00006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20</xdr:row>
      <xdr:rowOff>0</xdr:rowOff>
    </xdr:from>
    <xdr:ext cx="381000" cy="381000"/>
    <xdr:pic>
      <xdr:nvPicPr>
        <xdr:cNvPr id="99" name="image177.png">
          <a:extLst>
            <a:ext uri="{FF2B5EF4-FFF2-40B4-BE49-F238E27FC236}">
              <a16:creationId xmlns:a16="http://schemas.microsoft.com/office/drawing/2014/main" id="{00000000-0008-0000-0800-000063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20</xdr:row>
      <xdr:rowOff>0</xdr:rowOff>
    </xdr:from>
    <xdr:ext cx="381000" cy="381000"/>
    <xdr:pic>
      <xdr:nvPicPr>
        <xdr:cNvPr id="100" name="image177.png">
          <a:extLst>
            <a:ext uri="{FF2B5EF4-FFF2-40B4-BE49-F238E27FC236}">
              <a16:creationId xmlns:a16="http://schemas.microsoft.com/office/drawing/2014/main" id="{00000000-0008-0000-0800-00006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20</xdr:row>
      <xdr:rowOff>0</xdr:rowOff>
    </xdr:from>
    <xdr:ext cx="381000" cy="381000"/>
    <xdr:pic>
      <xdr:nvPicPr>
        <xdr:cNvPr id="101" name="image92.jpg">
          <a:extLst>
            <a:ext uri="{FF2B5EF4-FFF2-40B4-BE49-F238E27FC236}">
              <a16:creationId xmlns:a16="http://schemas.microsoft.com/office/drawing/2014/main" id="{00000000-0008-0000-0800-000065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21</xdr:row>
      <xdr:rowOff>0</xdr:rowOff>
    </xdr:from>
    <xdr:ext cx="381000" cy="381000"/>
    <xdr:pic>
      <xdr:nvPicPr>
        <xdr:cNvPr id="102" name="image248.jpg">
          <a:extLst>
            <a:ext uri="{FF2B5EF4-FFF2-40B4-BE49-F238E27FC236}">
              <a16:creationId xmlns:a16="http://schemas.microsoft.com/office/drawing/2014/main" id="{00000000-0008-0000-0800-000066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21</xdr:row>
      <xdr:rowOff>0</xdr:rowOff>
    </xdr:from>
    <xdr:ext cx="381000" cy="381000"/>
    <xdr:pic>
      <xdr:nvPicPr>
        <xdr:cNvPr id="103" name="image153.png">
          <a:extLst>
            <a:ext uri="{FF2B5EF4-FFF2-40B4-BE49-F238E27FC236}">
              <a16:creationId xmlns:a16="http://schemas.microsoft.com/office/drawing/2014/main" id="{00000000-0008-0000-0800-00006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21</xdr:row>
      <xdr:rowOff>0</xdr:rowOff>
    </xdr:from>
    <xdr:ext cx="381000" cy="381000"/>
    <xdr:pic>
      <xdr:nvPicPr>
        <xdr:cNvPr id="104" name="image177.png">
          <a:extLst>
            <a:ext uri="{FF2B5EF4-FFF2-40B4-BE49-F238E27FC236}">
              <a16:creationId xmlns:a16="http://schemas.microsoft.com/office/drawing/2014/main" id="{00000000-0008-0000-0800-00006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21</xdr:row>
      <xdr:rowOff>0</xdr:rowOff>
    </xdr:from>
    <xdr:ext cx="381000" cy="381000"/>
    <xdr:pic>
      <xdr:nvPicPr>
        <xdr:cNvPr id="105" name="image177.png">
          <a:extLst>
            <a:ext uri="{FF2B5EF4-FFF2-40B4-BE49-F238E27FC236}">
              <a16:creationId xmlns:a16="http://schemas.microsoft.com/office/drawing/2014/main" id="{00000000-0008-0000-0800-000069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21</xdr:row>
      <xdr:rowOff>0</xdr:rowOff>
    </xdr:from>
    <xdr:ext cx="381000" cy="381000"/>
    <xdr:pic>
      <xdr:nvPicPr>
        <xdr:cNvPr id="106" name="image58.jpg">
          <a:extLst>
            <a:ext uri="{FF2B5EF4-FFF2-40B4-BE49-F238E27FC236}">
              <a16:creationId xmlns:a16="http://schemas.microsoft.com/office/drawing/2014/main" id="{00000000-0008-0000-0800-00006A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22</xdr:row>
      <xdr:rowOff>0</xdr:rowOff>
    </xdr:from>
    <xdr:ext cx="381000" cy="381000"/>
    <xdr:pic>
      <xdr:nvPicPr>
        <xdr:cNvPr id="107" name="image201.jpg">
          <a:extLst>
            <a:ext uri="{FF2B5EF4-FFF2-40B4-BE49-F238E27FC236}">
              <a16:creationId xmlns:a16="http://schemas.microsoft.com/office/drawing/2014/main" id="{00000000-0008-0000-0800-00006B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22</xdr:row>
      <xdr:rowOff>0</xdr:rowOff>
    </xdr:from>
    <xdr:ext cx="381000" cy="381000"/>
    <xdr:pic>
      <xdr:nvPicPr>
        <xdr:cNvPr id="108" name="image196.png">
          <a:extLst>
            <a:ext uri="{FF2B5EF4-FFF2-40B4-BE49-F238E27FC236}">
              <a16:creationId xmlns:a16="http://schemas.microsoft.com/office/drawing/2014/main" id="{00000000-0008-0000-0800-00006C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3</xdr:col>
      <xdr:colOff>0</xdr:colOff>
      <xdr:row>22</xdr:row>
      <xdr:rowOff>0</xdr:rowOff>
    </xdr:from>
    <xdr:ext cx="381000" cy="381000"/>
    <xdr:pic>
      <xdr:nvPicPr>
        <xdr:cNvPr id="109" name="image48.jpg">
          <a:extLst>
            <a:ext uri="{FF2B5EF4-FFF2-40B4-BE49-F238E27FC236}">
              <a16:creationId xmlns:a16="http://schemas.microsoft.com/office/drawing/2014/main" id="{00000000-0008-0000-0800-00006D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4</xdr:col>
      <xdr:colOff>0</xdr:colOff>
      <xdr:row>22</xdr:row>
      <xdr:rowOff>0</xdr:rowOff>
    </xdr:from>
    <xdr:ext cx="381000" cy="381000"/>
    <xdr:pic>
      <xdr:nvPicPr>
        <xdr:cNvPr id="110" name="image46.jpg">
          <a:extLst>
            <a:ext uri="{FF2B5EF4-FFF2-40B4-BE49-F238E27FC236}">
              <a16:creationId xmlns:a16="http://schemas.microsoft.com/office/drawing/2014/main" id="{00000000-0008-0000-0800-00006E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5</xdr:col>
      <xdr:colOff>0</xdr:colOff>
      <xdr:row>22</xdr:row>
      <xdr:rowOff>0</xdr:rowOff>
    </xdr:from>
    <xdr:ext cx="381000" cy="381000"/>
    <xdr:pic>
      <xdr:nvPicPr>
        <xdr:cNvPr id="111" name="image27.jpg">
          <a:extLst>
            <a:ext uri="{FF2B5EF4-FFF2-40B4-BE49-F238E27FC236}">
              <a16:creationId xmlns:a16="http://schemas.microsoft.com/office/drawing/2014/main" id="{00000000-0008-0000-0800-00006F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23</xdr:row>
      <xdr:rowOff>0</xdr:rowOff>
    </xdr:from>
    <xdr:ext cx="381000" cy="381000"/>
    <xdr:pic>
      <xdr:nvPicPr>
        <xdr:cNvPr id="112" name="image162.jpg">
          <a:extLst>
            <a:ext uri="{FF2B5EF4-FFF2-40B4-BE49-F238E27FC236}">
              <a16:creationId xmlns:a16="http://schemas.microsoft.com/office/drawing/2014/main" id="{00000000-0008-0000-0800-000070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23</xdr:row>
      <xdr:rowOff>0</xdr:rowOff>
    </xdr:from>
    <xdr:ext cx="381000" cy="381000"/>
    <xdr:pic>
      <xdr:nvPicPr>
        <xdr:cNvPr id="113" name="image153.png">
          <a:extLst>
            <a:ext uri="{FF2B5EF4-FFF2-40B4-BE49-F238E27FC236}">
              <a16:creationId xmlns:a16="http://schemas.microsoft.com/office/drawing/2014/main" id="{00000000-0008-0000-0800-000071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23</xdr:row>
      <xdr:rowOff>0</xdr:rowOff>
    </xdr:from>
    <xdr:ext cx="381000" cy="381000"/>
    <xdr:pic>
      <xdr:nvPicPr>
        <xdr:cNvPr id="114" name="image177.png">
          <a:extLst>
            <a:ext uri="{FF2B5EF4-FFF2-40B4-BE49-F238E27FC236}">
              <a16:creationId xmlns:a16="http://schemas.microsoft.com/office/drawing/2014/main" id="{00000000-0008-0000-0800-000072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23</xdr:row>
      <xdr:rowOff>0</xdr:rowOff>
    </xdr:from>
    <xdr:ext cx="381000" cy="381000"/>
    <xdr:pic>
      <xdr:nvPicPr>
        <xdr:cNvPr id="115" name="image51.jpg">
          <a:extLst>
            <a:ext uri="{FF2B5EF4-FFF2-40B4-BE49-F238E27FC236}">
              <a16:creationId xmlns:a16="http://schemas.microsoft.com/office/drawing/2014/main" id="{00000000-0008-0000-0800-000073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5</xdr:col>
      <xdr:colOff>0</xdr:colOff>
      <xdr:row>23</xdr:row>
      <xdr:rowOff>0</xdr:rowOff>
    </xdr:from>
    <xdr:ext cx="381000" cy="381000"/>
    <xdr:pic>
      <xdr:nvPicPr>
        <xdr:cNvPr id="116" name="image177.png">
          <a:extLst>
            <a:ext uri="{FF2B5EF4-FFF2-40B4-BE49-F238E27FC236}">
              <a16:creationId xmlns:a16="http://schemas.microsoft.com/office/drawing/2014/main" id="{00000000-0008-0000-0800-00007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24</xdr:row>
      <xdr:rowOff>0</xdr:rowOff>
    </xdr:from>
    <xdr:ext cx="381000" cy="381000"/>
    <xdr:pic>
      <xdr:nvPicPr>
        <xdr:cNvPr id="117" name="image248.jpg">
          <a:extLst>
            <a:ext uri="{FF2B5EF4-FFF2-40B4-BE49-F238E27FC236}">
              <a16:creationId xmlns:a16="http://schemas.microsoft.com/office/drawing/2014/main" id="{00000000-0008-0000-0800-000075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24</xdr:row>
      <xdr:rowOff>0</xdr:rowOff>
    </xdr:from>
    <xdr:ext cx="381000" cy="381000"/>
    <xdr:pic>
      <xdr:nvPicPr>
        <xdr:cNvPr id="118" name="image153.png">
          <a:extLst>
            <a:ext uri="{FF2B5EF4-FFF2-40B4-BE49-F238E27FC236}">
              <a16:creationId xmlns:a16="http://schemas.microsoft.com/office/drawing/2014/main" id="{00000000-0008-0000-0800-00007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24</xdr:row>
      <xdr:rowOff>0</xdr:rowOff>
    </xdr:from>
    <xdr:ext cx="381000" cy="381000"/>
    <xdr:pic>
      <xdr:nvPicPr>
        <xdr:cNvPr id="119" name="image14.jpg">
          <a:extLst>
            <a:ext uri="{FF2B5EF4-FFF2-40B4-BE49-F238E27FC236}">
              <a16:creationId xmlns:a16="http://schemas.microsoft.com/office/drawing/2014/main" id="{00000000-0008-0000-0800-00007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24</xdr:row>
      <xdr:rowOff>0</xdr:rowOff>
    </xdr:from>
    <xdr:ext cx="381000" cy="381000"/>
    <xdr:pic>
      <xdr:nvPicPr>
        <xdr:cNvPr id="120" name="image177.png">
          <a:extLst>
            <a:ext uri="{FF2B5EF4-FFF2-40B4-BE49-F238E27FC236}">
              <a16:creationId xmlns:a16="http://schemas.microsoft.com/office/drawing/2014/main" id="{00000000-0008-0000-0800-00007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24</xdr:row>
      <xdr:rowOff>0</xdr:rowOff>
    </xdr:from>
    <xdr:ext cx="381000" cy="381000"/>
    <xdr:pic>
      <xdr:nvPicPr>
        <xdr:cNvPr id="121" name="image218.jpg">
          <a:extLst>
            <a:ext uri="{FF2B5EF4-FFF2-40B4-BE49-F238E27FC236}">
              <a16:creationId xmlns:a16="http://schemas.microsoft.com/office/drawing/2014/main" id="{00000000-0008-0000-0800-000079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25</xdr:row>
      <xdr:rowOff>0</xdr:rowOff>
    </xdr:from>
    <xdr:ext cx="381000" cy="381000"/>
    <xdr:pic>
      <xdr:nvPicPr>
        <xdr:cNvPr id="122" name="image189.jpg">
          <a:extLst>
            <a:ext uri="{FF2B5EF4-FFF2-40B4-BE49-F238E27FC236}">
              <a16:creationId xmlns:a16="http://schemas.microsoft.com/office/drawing/2014/main" id="{00000000-0008-0000-0800-00007A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25</xdr:row>
      <xdr:rowOff>0</xdr:rowOff>
    </xdr:from>
    <xdr:ext cx="381000" cy="381000"/>
    <xdr:pic>
      <xdr:nvPicPr>
        <xdr:cNvPr id="123" name="image153.png">
          <a:extLst>
            <a:ext uri="{FF2B5EF4-FFF2-40B4-BE49-F238E27FC236}">
              <a16:creationId xmlns:a16="http://schemas.microsoft.com/office/drawing/2014/main" id="{00000000-0008-0000-0800-00007B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25</xdr:row>
      <xdr:rowOff>0</xdr:rowOff>
    </xdr:from>
    <xdr:ext cx="381000" cy="381000"/>
    <xdr:pic>
      <xdr:nvPicPr>
        <xdr:cNvPr id="124" name="image54.jpg">
          <a:extLst>
            <a:ext uri="{FF2B5EF4-FFF2-40B4-BE49-F238E27FC236}">
              <a16:creationId xmlns:a16="http://schemas.microsoft.com/office/drawing/2014/main" id="{00000000-0008-0000-0800-00007C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4</xdr:col>
      <xdr:colOff>0</xdr:colOff>
      <xdr:row>25</xdr:row>
      <xdr:rowOff>0</xdr:rowOff>
    </xdr:from>
    <xdr:ext cx="381000" cy="381000"/>
    <xdr:pic>
      <xdr:nvPicPr>
        <xdr:cNvPr id="125" name="image32.jpg">
          <a:extLst>
            <a:ext uri="{FF2B5EF4-FFF2-40B4-BE49-F238E27FC236}">
              <a16:creationId xmlns:a16="http://schemas.microsoft.com/office/drawing/2014/main" id="{00000000-0008-0000-0800-00007D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5</xdr:col>
      <xdr:colOff>0</xdr:colOff>
      <xdr:row>25</xdr:row>
      <xdr:rowOff>0</xdr:rowOff>
    </xdr:from>
    <xdr:ext cx="381000" cy="381000"/>
    <xdr:pic>
      <xdr:nvPicPr>
        <xdr:cNvPr id="126" name="image11.jpg">
          <a:extLst>
            <a:ext uri="{FF2B5EF4-FFF2-40B4-BE49-F238E27FC236}">
              <a16:creationId xmlns:a16="http://schemas.microsoft.com/office/drawing/2014/main" id="{00000000-0008-0000-0800-00007E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26</xdr:row>
      <xdr:rowOff>0</xdr:rowOff>
    </xdr:from>
    <xdr:ext cx="381000" cy="381000"/>
    <xdr:pic>
      <xdr:nvPicPr>
        <xdr:cNvPr id="127" name="image248.jpg">
          <a:extLst>
            <a:ext uri="{FF2B5EF4-FFF2-40B4-BE49-F238E27FC236}">
              <a16:creationId xmlns:a16="http://schemas.microsoft.com/office/drawing/2014/main" id="{00000000-0008-0000-0800-00007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26</xdr:row>
      <xdr:rowOff>0</xdr:rowOff>
    </xdr:from>
    <xdr:ext cx="381000" cy="381000"/>
    <xdr:pic>
      <xdr:nvPicPr>
        <xdr:cNvPr id="128" name="image153.png">
          <a:extLst>
            <a:ext uri="{FF2B5EF4-FFF2-40B4-BE49-F238E27FC236}">
              <a16:creationId xmlns:a16="http://schemas.microsoft.com/office/drawing/2014/main" id="{00000000-0008-0000-0800-000080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26</xdr:row>
      <xdr:rowOff>0</xdr:rowOff>
    </xdr:from>
    <xdr:ext cx="381000" cy="381000"/>
    <xdr:pic>
      <xdr:nvPicPr>
        <xdr:cNvPr id="129" name="image177.png">
          <a:extLst>
            <a:ext uri="{FF2B5EF4-FFF2-40B4-BE49-F238E27FC236}">
              <a16:creationId xmlns:a16="http://schemas.microsoft.com/office/drawing/2014/main" id="{00000000-0008-0000-0800-000081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26</xdr:row>
      <xdr:rowOff>0</xdr:rowOff>
    </xdr:from>
    <xdr:ext cx="381000" cy="381000"/>
    <xdr:pic>
      <xdr:nvPicPr>
        <xdr:cNvPr id="130" name="image177.png">
          <a:extLst>
            <a:ext uri="{FF2B5EF4-FFF2-40B4-BE49-F238E27FC236}">
              <a16:creationId xmlns:a16="http://schemas.microsoft.com/office/drawing/2014/main" id="{00000000-0008-0000-0800-000082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26</xdr:row>
      <xdr:rowOff>0</xdr:rowOff>
    </xdr:from>
    <xdr:ext cx="381000" cy="381000"/>
    <xdr:pic>
      <xdr:nvPicPr>
        <xdr:cNvPr id="131" name="image107.jpg">
          <a:extLst>
            <a:ext uri="{FF2B5EF4-FFF2-40B4-BE49-F238E27FC236}">
              <a16:creationId xmlns:a16="http://schemas.microsoft.com/office/drawing/2014/main" id="{00000000-0008-0000-0800-000083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27</xdr:row>
      <xdr:rowOff>0</xdr:rowOff>
    </xdr:from>
    <xdr:ext cx="381000" cy="381000"/>
    <xdr:pic>
      <xdr:nvPicPr>
        <xdr:cNvPr id="132" name="image201.jpg">
          <a:extLst>
            <a:ext uri="{FF2B5EF4-FFF2-40B4-BE49-F238E27FC236}">
              <a16:creationId xmlns:a16="http://schemas.microsoft.com/office/drawing/2014/main" id="{00000000-0008-0000-0800-000084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27</xdr:row>
      <xdr:rowOff>0</xdr:rowOff>
    </xdr:from>
    <xdr:ext cx="381000" cy="381000"/>
    <xdr:pic>
      <xdr:nvPicPr>
        <xdr:cNvPr id="133" name="image196.png">
          <a:extLst>
            <a:ext uri="{FF2B5EF4-FFF2-40B4-BE49-F238E27FC236}">
              <a16:creationId xmlns:a16="http://schemas.microsoft.com/office/drawing/2014/main" id="{00000000-0008-0000-0800-000085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3</xdr:col>
      <xdr:colOff>0</xdr:colOff>
      <xdr:row>27</xdr:row>
      <xdr:rowOff>0</xdr:rowOff>
    </xdr:from>
    <xdr:ext cx="381000" cy="381000"/>
    <xdr:pic>
      <xdr:nvPicPr>
        <xdr:cNvPr id="134" name="image53.jpg">
          <a:extLst>
            <a:ext uri="{FF2B5EF4-FFF2-40B4-BE49-F238E27FC236}">
              <a16:creationId xmlns:a16="http://schemas.microsoft.com/office/drawing/2014/main" id="{00000000-0008-0000-0800-000086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4</xdr:col>
      <xdr:colOff>0</xdr:colOff>
      <xdr:row>27</xdr:row>
      <xdr:rowOff>0</xdr:rowOff>
    </xdr:from>
    <xdr:ext cx="381000" cy="381000"/>
    <xdr:pic>
      <xdr:nvPicPr>
        <xdr:cNvPr id="135" name="image30.jpg">
          <a:extLst>
            <a:ext uri="{FF2B5EF4-FFF2-40B4-BE49-F238E27FC236}">
              <a16:creationId xmlns:a16="http://schemas.microsoft.com/office/drawing/2014/main" id="{00000000-0008-0000-0800-000087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5</xdr:col>
      <xdr:colOff>0</xdr:colOff>
      <xdr:row>27</xdr:row>
      <xdr:rowOff>0</xdr:rowOff>
    </xdr:from>
    <xdr:ext cx="381000" cy="381000"/>
    <xdr:pic>
      <xdr:nvPicPr>
        <xdr:cNvPr id="136" name="image27.jpg">
          <a:extLst>
            <a:ext uri="{FF2B5EF4-FFF2-40B4-BE49-F238E27FC236}">
              <a16:creationId xmlns:a16="http://schemas.microsoft.com/office/drawing/2014/main" id="{00000000-0008-0000-0800-00008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28</xdr:row>
      <xdr:rowOff>0</xdr:rowOff>
    </xdr:from>
    <xdr:ext cx="381000" cy="381000"/>
    <xdr:pic>
      <xdr:nvPicPr>
        <xdr:cNvPr id="137" name="image162.jpg">
          <a:extLst>
            <a:ext uri="{FF2B5EF4-FFF2-40B4-BE49-F238E27FC236}">
              <a16:creationId xmlns:a16="http://schemas.microsoft.com/office/drawing/2014/main" id="{00000000-0008-0000-0800-000089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28</xdr:row>
      <xdr:rowOff>0</xdr:rowOff>
    </xdr:from>
    <xdr:ext cx="381000" cy="381000"/>
    <xdr:pic>
      <xdr:nvPicPr>
        <xdr:cNvPr id="138" name="image153.png">
          <a:extLst>
            <a:ext uri="{FF2B5EF4-FFF2-40B4-BE49-F238E27FC236}">
              <a16:creationId xmlns:a16="http://schemas.microsoft.com/office/drawing/2014/main" id="{00000000-0008-0000-0800-00008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28</xdr:row>
      <xdr:rowOff>0</xdr:rowOff>
    </xdr:from>
    <xdr:ext cx="381000" cy="381000"/>
    <xdr:pic>
      <xdr:nvPicPr>
        <xdr:cNvPr id="139" name="image177.png">
          <a:extLst>
            <a:ext uri="{FF2B5EF4-FFF2-40B4-BE49-F238E27FC236}">
              <a16:creationId xmlns:a16="http://schemas.microsoft.com/office/drawing/2014/main" id="{00000000-0008-0000-0800-00008B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28</xdr:row>
      <xdr:rowOff>0</xdr:rowOff>
    </xdr:from>
    <xdr:ext cx="381000" cy="381000"/>
    <xdr:pic>
      <xdr:nvPicPr>
        <xdr:cNvPr id="140" name="image177.png">
          <a:extLst>
            <a:ext uri="{FF2B5EF4-FFF2-40B4-BE49-F238E27FC236}">
              <a16:creationId xmlns:a16="http://schemas.microsoft.com/office/drawing/2014/main" id="{00000000-0008-0000-0800-00008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28</xdr:row>
      <xdr:rowOff>0</xdr:rowOff>
    </xdr:from>
    <xdr:ext cx="381000" cy="381000"/>
    <xdr:pic>
      <xdr:nvPicPr>
        <xdr:cNvPr id="141" name="image87.jpg">
          <a:extLst>
            <a:ext uri="{FF2B5EF4-FFF2-40B4-BE49-F238E27FC236}">
              <a16:creationId xmlns:a16="http://schemas.microsoft.com/office/drawing/2014/main" id="{00000000-0008-0000-0800-00008D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29</xdr:row>
      <xdr:rowOff>0</xdr:rowOff>
    </xdr:from>
    <xdr:ext cx="381000" cy="381000"/>
    <xdr:pic>
      <xdr:nvPicPr>
        <xdr:cNvPr id="142" name="image189.jpg">
          <a:extLst>
            <a:ext uri="{FF2B5EF4-FFF2-40B4-BE49-F238E27FC236}">
              <a16:creationId xmlns:a16="http://schemas.microsoft.com/office/drawing/2014/main" id="{00000000-0008-0000-0800-00008E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29</xdr:row>
      <xdr:rowOff>0</xdr:rowOff>
    </xdr:from>
    <xdr:ext cx="381000" cy="381000"/>
    <xdr:pic>
      <xdr:nvPicPr>
        <xdr:cNvPr id="143" name="image153.png">
          <a:extLst>
            <a:ext uri="{FF2B5EF4-FFF2-40B4-BE49-F238E27FC236}">
              <a16:creationId xmlns:a16="http://schemas.microsoft.com/office/drawing/2014/main" id="{00000000-0008-0000-0800-00008F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29</xdr:row>
      <xdr:rowOff>0</xdr:rowOff>
    </xdr:from>
    <xdr:ext cx="381000" cy="381000"/>
    <xdr:pic>
      <xdr:nvPicPr>
        <xdr:cNvPr id="144" name="image21.jpg">
          <a:extLst>
            <a:ext uri="{FF2B5EF4-FFF2-40B4-BE49-F238E27FC236}">
              <a16:creationId xmlns:a16="http://schemas.microsoft.com/office/drawing/2014/main" id="{00000000-0008-0000-0800-000090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4</xdr:col>
      <xdr:colOff>0</xdr:colOff>
      <xdr:row>29</xdr:row>
      <xdr:rowOff>0</xdr:rowOff>
    </xdr:from>
    <xdr:ext cx="381000" cy="381000"/>
    <xdr:pic>
      <xdr:nvPicPr>
        <xdr:cNvPr id="145" name="image43.jpg">
          <a:extLst>
            <a:ext uri="{FF2B5EF4-FFF2-40B4-BE49-F238E27FC236}">
              <a16:creationId xmlns:a16="http://schemas.microsoft.com/office/drawing/2014/main" id="{00000000-0008-0000-0800-00009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5</xdr:col>
      <xdr:colOff>0</xdr:colOff>
      <xdr:row>29</xdr:row>
      <xdr:rowOff>0</xdr:rowOff>
    </xdr:from>
    <xdr:ext cx="381000" cy="381000"/>
    <xdr:pic>
      <xdr:nvPicPr>
        <xdr:cNvPr id="146" name="image11.jpg">
          <a:extLst>
            <a:ext uri="{FF2B5EF4-FFF2-40B4-BE49-F238E27FC236}">
              <a16:creationId xmlns:a16="http://schemas.microsoft.com/office/drawing/2014/main" id="{00000000-0008-0000-0800-000092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30</xdr:row>
      <xdr:rowOff>0</xdr:rowOff>
    </xdr:from>
    <xdr:ext cx="381000" cy="381000"/>
    <xdr:pic>
      <xdr:nvPicPr>
        <xdr:cNvPr id="147" name="image257.jpg">
          <a:extLst>
            <a:ext uri="{FF2B5EF4-FFF2-40B4-BE49-F238E27FC236}">
              <a16:creationId xmlns:a16="http://schemas.microsoft.com/office/drawing/2014/main" id="{00000000-0008-0000-0800-000093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30</xdr:row>
      <xdr:rowOff>0</xdr:rowOff>
    </xdr:from>
    <xdr:ext cx="381000" cy="381000"/>
    <xdr:pic>
      <xdr:nvPicPr>
        <xdr:cNvPr id="148" name="image153.png">
          <a:extLst>
            <a:ext uri="{FF2B5EF4-FFF2-40B4-BE49-F238E27FC236}">
              <a16:creationId xmlns:a16="http://schemas.microsoft.com/office/drawing/2014/main" id="{00000000-0008-0000-0800-00009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30</xdr:row>
      <xdr:rowOff>0</xdr:rowOff>
    </xdr:from>
    <xdr:ext cx="381000" cy="381000"/>
    <xdr:pic>
      <xdr:nvPicPr>
        <xdr:cNvPr id="149" name="image177.png">
          <a:extLst>
            <a:ext uri="{FF2B5EF4-FFF2-40B4-BE49-F238E27FC236}">
              <a16:creationId xmlns:a16="http://schemas.microsoft.com/office/drawing/2014/main" id="{00000000-0008-0000-0800-00009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30</xdr:row>
      <xdr:rowOff>0</xdr:rowOff>
    </xdr:from>
    <xdr:ext cx="381000" cy="381000"/>
    <xdr:pic>
      <xdr:nvPicPr>
        <xdr:cNvPr id="150" name="image177.png">
          <a:extLst>
            <a:ext uri="{FF2B5EF4-FFF2-40B4-BE49-F238E27FC236}">
              <a16:creationId xmlns:a16="http://schemas.microsoft.com/office/drawing/2014/main" id="{00000000-0008-0000-0800-00009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30</xdr:row>
      <xdr:rowOff>0</xdr:rowOff>
    </xdr:from>
    <xdr:ext cx="381000" cy="381000"/>
    <xdr:pic>
      <xdr:nvPicPr>
        <xdr:cNvPr id="151" name="image82.jpg">
          <a:extLst>
            <a:ext uri="{FF2B5EF4-FFF2-40B4-BE49-F238E27FC236}">
              <a16:creationId xmlns:a16="http://schemas.microsoft.com/office/drawing/2014/main" id="{00000000-0008-0000-0800-000097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31</xdr:row>
      <xdr:rowOff>0</xdr:rowOff>
    </xdr:from>
    <xdr:ext cx="381000" cy="381000"/>
    <xdr:pic>
      <xdr:nvPicPr>
        <xdr:cNvPr id="152" name="image257.jpg">
          <a:extLst>
            <a:ext uri="{FF2B5EF4-FFF2-40B4-BE49-F238E27FC236}">
              <a16:creationId xmlns:a16="http://schemas.microsoft.com/office/drawing/2014/main" id="{00000000-0008-0000-0800-000098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31</xdr:row>
      <xdr:rowOff>0</xdr:rowOff>
    </xdr:from>
    <xdr:ext cx="381000" cy="381000"/>
    <xdr:pic>
      <xdr:nvPicPr>
        <xdr:cNvPr id="153" name="image153.png">
          <a:extLst>
            <a:ext uri="{FF2B5EF4-FFF2-40B4-BE49-F238E27FC236}">
              <a16:creationId xmlns:a16="http://schemas.microsoft.com/office/drawing/2014/main" id="{00000000-0008-0000-0800-00009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31</xdr:row>
      <xdr:rowOff>0</xdr:rowOff>
    </xdr:from>
    <xdr:ext cx="381000" cy="381000"/>
    <xdr:pic>
      <xdr:nvPicPr>
        <xdr:cNvPr id="154" name="image49.jpg">
          <a:extLst>
            <a:ext uri="{FF2B5EF4-FFF2-40B4-BE49-F238E27FC236}">
              <a16:creationId xmlns:a16="http://schemas.microsoft.com/office/drawing/2014/main" id="{00000000-0008-0000-0800-00009A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4</xdr:col>
      <xdr:colOff>0</xdr:colOff>
      <xdr:row>31</xdr:row>
      <xdr:rowOff>0</xdr:rowOff>
    </xdr:from>
    <xdr:ext cx="381000" cy="381000"/>
    <xdr:pic>
      <xdr:nvPicPr>
        <xdr:cNvPr id="155" name="image26.jpg">
          <a:extLst>
            <a:ext uri="{FF2B5EF4-FFF2-40B4-BE49-F238E27FC236}">
              <a16:creationId xmlns:a16="http://schemas.microsoft.com/office/drawing/2014/main" id="{00000000-0008-0000-0800-00009B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31</xdr:row>
      <xdr:rowOff>0</xdr:rowOff>
    </xdr:from>
    <xdr:ext cx="381000" cy="381000"/>
    <xdr:pic>
      <xdr:nvPicPr>
        <xdr:cNvPr id="156" name="image205.jpg">
          <a:extLst>
            <a:ext uri="{FF2B5EF4-FFF2-40B4-BE49-F238E27FC236}">
              <a16:creationId xmlns:a16="http://schemas.microsoft.com/office/drawing/2014/main" id="{00000000-0008-0000-0800-00009C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xdr:col>
      <xdr:colOff>0</xdr:colOff>
      <xdr:row>32</xdr:row>
      <xdr:rowOff>0</xdr:rowOff>
    </xdr:from>
    <xdr:ext cx="381000" cy="381000"/>
    <xdr:pic>
      <xdr:nvPicPr>
        <xdr:cNvPr id="157" name="image201.jpg">
          <a:extLst>
            <a:ext uri="{FF2B5EF4-FFF2-40B4-BE49-F238E27FC236}">
              <a16:creationId xmlns:a16="http://schemas.microsoft.com/office/drawing/2014/main" id="{00000000-0008-0000-0800-00009D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32</xdr:row>
      <xdr:rowOff>0</xdr:rowOff>
    </xdr:from>
    <xdr:ext cx="381000" cy="381000"/>
    <xdr:pic>
      <xdr:nvPicPr>
        <xdr:cNvPr id="158" name="image196.png">
          <a:extLst>
            <a:ext uri="{FF2B5EF4-FFF2-40B4-BE49-F238E27FC236}">
              <a16:creationId xmlns:a16="http://schemas.microsoft.com/office/drawing/2014/main" id="{00000000-0008-0000-0800-00009E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3</xdr:col>
      <xdr:colOff>0</xdr:colOff>
      <xdr:row>32</xdr:row>
      <xdr:rowOff>0</xdr:rowOff>
    </xdr:from>
    <xdr:ext cx="381000" cy="381000"/>
    <xdr:pic>
      <xdr:nvPicPr>
        <xdr:cNvPr id="159" name="image48.jpg">
          <a:extLst>
            <a:ext uri="{FF2B5EF4-FFF2-40B4-BE49-F238E27FC236}">
              <a16:creationId xmlns:a16="http://schemas.microsoft.com/office/drawing/2014/main" id="{00000000-0008-0000-0800-00009F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4</xdr:col>
      <xdr:colOff>0</xdr:colOff>
      <xdr:row>32</xdr:row>
      <xdr:rowOff>0</xdr:rowOff>
    </xdr:from>
    <xdr:ext cx="381000" cy="381000"/>
    <xdr:pic>
      <xdr:nvPicPr>
        <xdr:cNvPr id="160" name="image43.jpg">
          <a:extLst>
            <a:ext uri="{FF2B5EF4-FFF2-40B4-BE49-F238E27FC236}">
              <a16:creationId xmlns:a16="http://schemas.microsoft.com/office/drawing/2014/main" id="{00000000-0008-0000-0800-0000A0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5</xdr:col>
      <xdr:colOff>0</xdr:colOff>
      <xdr:row>32</xdr:row>
      <xdr:rowOff>0</xdr:rowOff>
    </xdr:from>
    <xdr:ext cx="381000" cy="381000"/>
    <xdr:pic>
      <xdr:nvPicPr>
        <xdr:cNvPr id="161" name="image11.jpg">
          <a:extLst>
            <a:ext uri="{FF2B5EF4-FFF2-40B4-BE49-F238E27FC236}">
              <a16:creationId xmlns:a16="http://schemas.microsoft.com/office/drawing/2014/main" id="{00000000-0008-0000-0800-0000A1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33</xdr:row>
      <xdr:rowOff>0</xdr:rowOff>
    </xdr:from>
    <xdr:ext cx="381000" cy="381000"/>
    <xdr:pic>
      <xdr:nvPicPr>
        <xdr:cNvPr id="162" name="image257.jpg">
          <a:extLst>
            <a:ext uri="{FF2B5EF4-FFF2-40B4-BE49-F238E27FC236}">
              <a16:creationId xmlns:a16="http://schemas.microsoft.com/office/drawing/2014/main" id="{00000000-0008-0000-0800-0000A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33</xdr:row>
      <xdr:rowOff>0</xdr:rowOff>
    </xdr:from>
    <xdr:ext cx="381000" cy="381000"/>
    <xdr:pic>
      <xdr:nvPicPr>
        <xdr:cNvPr id="163" name="image153.png">
          <a:extLst>
            <a:ext uri="{FF2B5EF4-FFF2-40B4-BE49-F238E27FC236}">
              <a16:creationId xmlns:a16="http://schemas.microsoft.com/office/drawing/2014/main" id="{00000000-0008-0000-0800-0000A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33</xdr:row>
      <xdr:rowOff>0</xdr:rowOff>
    </xdr:from>
    <xdr:ext cx="381000" cy="381000"/>
    <xdr:pic>
      <xdr:nvPicPr>
        <xdr:cNvPr id="164" name="image14.jpg">
          <a:extLst>
            <a:ext uri="{FF2B5EF4-FFF2-40B4-BE49-F238E27FC236}">
              <a16:creationId xmlns:a16="http://schemas.microsoft.com/office/drawing/2014/main" id="{00000000-0008-0000-0800-0000A4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33</xdr:row>
      <xdr:rowOff>0</xdr:rowOff>
    </xdr:from>
    <xdr:ext cx="381000" cy="381000"/>
    <xdr:pic>
      <xdr:nvPicPr>
        <xdr:cNvPr id="165" name="image177.png">
          <a:extLst>
            <a:ext uri="{FF2B5EF4-FFF2-40B4-BE49-F238E27FC236}">
              <a16:creationId xmlns:a16="http://schemas.microsoft.com/office/drawing/2014/main" id="{00000000-0008-0000-0800-0000A5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33</xdr:row>
      <xdr:rowOff>0</xdr:rowOff>
    </xdr:from>
    <xdr:ext cx="381000" cy="381000"/>
    <xdr:pic>
      <xdr:nvPicPr>
        <xdr:cNvPr id="166" name="image86.jpg">
          <a:extLst>
            <a:ext uri="{FF2B5EF4-FFF2-40B4-BE49-F238E27FC236}">
              <a16:creationId xmlns:a16="http://schemas.microsoft.com/office/drawing/2014/main" id="{00000000-0008-0000-0800-0000A6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xdr:col>
      <xdr:colOff>0</xdr:colOff>
      <xdr:row>34</xdr:row>
      <xdr:rowOff>0</xdr:rowOff>
    </xdr:from>
    <xdr:ext cx="381000" cy="381000"/>
    <xdr:pic>
      <xdr:nvPicPr>
        <xdr:cNvPr id="167" name="image201.jpg">
          <a:extLst>
            <a:ext uri="{FF2B5EF4-FFF2-40B4-BE49-F238E27FC236}">
              <a16:creationId xmlns:a16="http://schemas.microsoft.com/office/drawing/2014/main" id="{00000000-0008-0000-0800-0000A7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34</xdr:row>
      <xdr:rowOff>0</xdr:rowOff>
    </xdr:from>
    <xdr:ext cx="381000" cy="381000"/>
    <xdr:pic>
      <xdr:nvPicPr>
        <xdr:cNvPr id="168" name="image196.png">
          <a:extLst>
            <a:ext uri="{FF2B5EF4-FFF2-40B4-BE49-F238E27FC236}">
              <a16:creationId xmlns:a16="http://schemas.microsoft.com/office/drawing/2014/main" id="{00000000-0008-0000-0800-0000A8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3</xdr:col>
      <xdr:colOff>0</xdr:colOff>
      <xdr:row>34</xdr:row>
      <xdr:rowOff>0</xdr:rowOff>
    </xdr:from>
    <xdr:ext cx="381000" cy="381000"/>
    <xdr:pic>
      <xdr:nvPicPr>
        <xdr:cNvPr id="169" name="image54.jpg">
          <a:extLst>
            <a:ext uri="{FF2B5EF4-FFF2-40B4-BE49-F238E27FC236}">
              <a16:creationId xmlns:a16="http://schemas.microsoft.com/office/drawing/2014/main" id="{00000000-0008-0000-0800-0000A9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4</xdr:col>
      <xdr:colOff>0</xdr:colOff>
      <xdr:row>34</xdr:row>
      <xdr:rowOff>0</xdr:rowOff>
    </xdr:from>
    <xdr:ext cx="381000" cy="381000"/>
    <xdr:pic>
      <xdr:nvPicPr>
        <xdr:cNvPr id="170" name="image32.jpg">
          <a:extLst>
            <a:ext uri="{FF2B5EF4-FFF2-40B4-BE49-F238E27FC236}">
              <a16:creationId xmlns:a16="http://schemas.microsoft.com/office/drawing/2014/main" id="{00000000-0008-0000-0800-0000AA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5</xdr:col>
      <xdr:colOff>0</xdr:colOff>
      <xdr:row>34</xdr:row>
      <xdr:rowOff>0</xdr:rowOff>
    </xdr:from>
    <xdr:ext cx="381000" cy="381000"/>
    <xdr:pic>
      <xdr:nvPicPr>
        <xdr:cNvPr id="171" name="image11.jpg">
          <a:extLst>
            <a:ext uri="{FF2B5EF4-FFF2-40B4-BE49-F238E27FC236}">
              <a16:creationId xmlns:a16="http://schemas.microsoft.com/office/drawing/2014/main" id="{00000000-0008-0000-0800-0000AB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35</xdr:row>
      <xdr:rowOff>0</xdr:rowOff>
    </xdr:from>
    <xdr:ext cx="381000" cy="381000"/>
    <xdr:pic>
      <xdr:nvPicPr>
        <xdr:cNvPr id="172" name="image257.jpg">
          <a:extLst>
            <a:ext uri="{FF2B5EF4-FFF2-40B4-BE49-F238E27FC236}">
              <a16:creationId xmlns:a16="http://schemas.microsoft.com/office/drawing/2014/main" id="{00000000-0008-0000-0800-0000AC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35</xdr:row>
      <xdr:rowOff>0</xdr:rowOff>
    </xdr:from>
    <xdr:ext cx="381000" cy="381000"/>
    <xdr:pic>
      <xdr:nvPicPr>
        <xdr:cNvPr id="173" name="image153.png">
          <a:extLst>
            <a:ext uri="{FF2B5EF4-FFF2-40B4-BE49-F238E27FC236}">
              <a16:creationId xmlns:a16="http://schemas.microsoft.com/office/drawing/2014/main" id="{00000000-0008-0000-0800-0000AD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35</xdr:row>
      <xdr:rowOff>0</xdr:rowOff>
    </xdr:from>
    <xdr:ext cx="381000" cy="381000"/>
    <xdr:pic>
      <xdr:nvPicPr>
        <xdr:cNvPr id="174" name="image177.png">
          <a:extLst>
            <a:ext uri="{FF2B5EF4-FFF2-40B4-BE49-F238E27FC236}">
              <a16:creationId xmlns:a16="http://schemas.microsoft.com/office/drawing/2014/main" id="{00000000-0008-0000-0800-0000AE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35</xdr:row>
      <xdr:rowOff>0</xdr:rowOff>
    </xdr:from>
    <xdr:ext cx="381000" cy="381000"/>
    <xdr:pic>
      <xdr:nvPicPr>
        <xdr:cNvPr id="175" name="image177.png">
          <a:extLst>
            <a:ext uri="{FF2B5EF4-FFF2-40B4-BE49-F238E27FC236}">
              <a16:creationId xmlns:a16="http://schemas.microsoft.com/office/drawing/2014/main" id="{00000000-0008-0000-0800-0000AF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35</xdr:row>
      <xdr:rowOff>0</xdr:rowOff>
    </xdr:from>
    <xdr:ext cx="381000" cy="381000"/>
    <xdr:pic>
      <xdr:nvPicPr>
        <xdr:cNvPr id="176" name="image89.jpg">
          <a:extLst>
            <a:ext uri="{FF2B5EF4-FFF2-40B4-BE49-F238E27FC236}">
              <a16:creationId xmlns:a16="http://schemas.microsoft.com/office/drawing/2014/main" id="{00000000-0008-0000-0800-0000B0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xdr:col>
      <xdr:colOff>0</xdr:colOff>
      <xdr:row>36</xdr:row>
      <xdr:rowOff>0</xdr:rowOff>
    </xdr:from>
    <xdr:ext cx="381000" cy="381000"/>
    <xdr:pic>
      <xdr:nvPicPr>
        <xdr:cNvPr id="177" name="image248.jpg">
          <a:extLst>
            <a:ext uri="{FF2B5EF4-FFF2-40B4-BE49-F238E27FC236}">
              <a16:creationId xmlns:a16="http://schemas.microsoft.com/office/drawing/2014/main" id="{00000000-0008-0000-0800-0000B1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36</xdr:row>
      <xdr:rowOff>0</xdr:rowOff>
    </xdr:from>
    <xdr:ext cx="381000" cy="381000"/>
    <xdr:pic>
      <xdr:nvPicPr>
        <xdr:cNvPr id="178" name="image176.png">
          <a:extLst>
            <a:ext uri="{FF2B5EF4-FFF2-40B4-BE49-F238E27FC236}">
              <a16:creationId xmlns:a16="http://schemas.microsoft.com/office/drawing/2014/main" id="{00000000-0008-0000-0800-0000B2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3</xdr:col>
      <xdr:colOff>0</xdr:colOff>
      <xdr:row>36</xdr:row>
      <xdr:rowOff>0</xdr:rowOff>
    </xdr:from>
    <xdr:ext cx="381000" cy="381000"/>
    <xdr:pic>
      <xdr:nvPicPr>
        <xdr:cNvPr id="179" name="image177.png">
          <a:extLst>
            <a:ext uri="{FF2B5EF4-FFF2-40B4-BE49-F238E27FC236}">
              <a16:creationId xmlns:a16="http://schemas.microsoft.com/office/drawing/2014/main" id="{00000000-0008-0000-0800-0000B3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36</xdr:row>
      <xdr:rowOff>0</xdr:rowOff>
    </xdr:from>
    <xdr:ext cx="381000" cy="381000"/>
    <xdr:pic>
      <xdr:nvPicPr>
        <xdr:cNvPr id="180" name="image177.png">
          <a:extLst>
            <a:ext uri="{FF2B5EF4-FFF2-40B4-BE49-F238E27FC236}">
              <a16:creationId xmlns:a16="http://schemas.microsoft.com/office/drawing/2014/main" id="{00000000-0008-0000-0800-0000B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36</xdr:row>
      <xdr:rowOff>0</xdr:rowOff>
    </xdr:from>
    <xdr:ext cx="381000" cy="381000"/>
    <xdr:pic>
      <xdr:nvPicPr>
        <xdr:cNvPr id="181" name="image85.jpg">
          <a:extLst>
            <a:ext uri="{FF2B5EF4-FFF2-40B4-BE49-F238E27FC236}">
              <a16:creationId xmlns:a16="http://schemas.microsoft.com/office/drawing/2014/main" id="{00000000-0008-0000-0800-0000B5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xdr:col>
      <xdr:colOff>0</xdr:colOff>
      <xdr:row>37</xdr:row>
      <xdr:rowOff>0</xdr:rowOff>
    </xdr:from>
    <xdr:ext cx="381000" cy="381000"/>
    <xdr:pic>
      <xdr:nvPicPr>
        <xdr:cNvPr id="182" name="image257.jpg">
          <a:extLst>
            <a:ext uri="{FF2B5EF4-FFF2-40B4-BE49-F238E27FC236}">
              <a16:creationId xmlns:a16="http://schemas.microsoft.com/office/drawing/2014/main" id="{00000000-0008-0000-0800-0000B6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37</xdr:row>
      <xdr:rowOff>0</xdr:rowOff>
    </xdr:from>
    <xdr:ext cx="381000" cy="381000"/>
    <xdr:pic>
      <xdr:nvPicPr>
        <xdr:cNvPr id="183" name="image153.png">
          <a:extLst>
            <a:ext uri="{FF2B5EF4-FFF2-40B4-BE49-F238E27FC236}">
              <a16:creationId xmlns:a16="http://schemas.microsoft.com/office/drawing/2014/main" id="{00000000-0008-0000-0800-0000B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37</xdr:row>
      <xdr:rowOff>0</xdr:rowOff>
    </xdr:from>
    <xdr:ext cx="381000" cy="381000"/>
    <xdr:pic>
      <xdr:nvPicPr>
        <xdr:cNvPr id="184" name="image177.png">
          <a:extLst>
            <a:ext uri="{FF2B5EF4-FFF2-40B4-BE49-F238E27FC236}">
              <a16:creationId xmlns:a16="http://schemas.microsoft.com/office/drawing/2014/main" id="{00000000-0008-0000-0800-0000B8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37</xdr:row>
      <xdr:rowOff>0</xdr:rowOff>
    </xdr:from>
    <xdr:ext cx="381000" cy="381000"/>
    <xdr:pic>
      <xdr:nvPicPr>
        <xdr:cNvPr id="185" name="image177.png">
          <a:extLst>
            <a:ext uri="{FF2B5EF4-FFF2-40B4-BE49-F238E27FC236}">
              <a16:creationId xmlns:a16="http://schemas.microsoft.com/office/drawing/2014/main" id="{00000000-0008-0000-0800-0000B9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37</xdr:row>
      <xdr:rowOff>0</xdr:rowOff>
    </xdr:from>
    <xdr:ext cx="381000" cy="381000"/>
    <xdr:pic>
      <xdr:nvPicPr>
        <xdr:cNvPr id="186" name="image79.jpg">
          <a:extLst>
            <a:ext uri="{FF2B5EF4-FFF2-40B4-BE49-F238E27FC236}">
              <a16:creationId xmlns:a16="http://schemas.microsoft.com/office/drawing/2014/main" id="{00000000-0008-0000-0800-0000BA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1</xdr:col>
      <xdr:colOff>0</xdr:colOff>
      <xdr:row>1</xdr:row>
      <xdr:rowOff>0</xdr:rowOff>
    </xdr:from>
    <xdr:ext cx="381000" cy="381000"/>
    <xdr:pic>
      <xdr:nvPicPr>
        <xdr:cNvPr id="2" name="image153.png">
          <a:extLst>
            <a:ext uri="{FF2B5EF4-FFF2-40B4-BE49-F238E27FC236}">
              <a16:creationId xmlns:a16="http://schemas.microsoft.com/office/drawing/2014/main" id="{00000000-0008-0000-0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2</xdr:row>
      <xdr:rowOff>0</xdr:rowOff>
    </xdr:from>
    <xdr:ext cx="381000" cy="381000"/>
    <xdr:pic>
      <xdr:nvPicPr>
        <xdr:cNvPr id="3" name="image8.jpg">
          <a:extLst>
            <a:ext uri="{FF2B5EF4-FFF2-40B4-BE49-F238E27FC236}">
              <a16:creationId xmlns:a16="http://schemas.microsoft.com/office/drawing/2014/main" id="{00000000-0008-0000-09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xdr:row>
      <xdr:rowOff>0</xdr:rowOff>
    </xdr:from>
    <xdr:ext cx="381000" cy="381000"/>
    <xdr:pic>
      <xdr:nvPicPr>
        <xdr:cNvPr id="4" name="image8.jpg">
          <a:extLst>
            <a:ext uri="{FF2B5EF4-FFF2-40B4-BE49-F238E27FC236}">
              <a16:creationId xmlns:a16="http://schemas.microsoft.com/office/drawing/2014/main" id="{00000000-0008-0000-0900-00000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4</xdr:row>
      <xdr:rowOff>0</xdr:rowOff>
    </xdr:from>
    <xdr:ext cx="381000" cy="381000"/>
    <xdr:pic>
      <xdr:nvPicPr>
        <xdr:cNvPr id="5" name="image8.jpg">
          <a:extLst>
            <a:ext uri="{FF2B5EF4-FFF2-40B4-BE49-F238E27FC236}">
              <a16:creationId xmlns:a16="http://schemas.microsoft.com/office/drawing/2014/main" id="{00000000-0008-0000-0900-00000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5</xdr:row>
      <xdr:rowOff>0</xdr:rowOff>
    </xdr:from>
    <xdr:ext cx="381000" cy="381000"/>
    <xdr:pic>
      <xdr:nvPicPr>
        <xdr:cNvPr id="6" name="image8.jpg">
          <a:extLst>
            <a:ext uri="{FF2B5EF4-FFF2-40B4-BE49-F238E27FC236}">
              <a16:creationId xmlns:a16="http://schemas.microsoft.com/office/drawing/2014/main" id="{00000000-0008-0000-0900-00000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6</xdr:row>
      <xdr:rowOff>0</xdr:rowOff>
    </xdr:from>
    <xdr:ext cx="381000" cy="381000"/>
    <xdr:pic>
      <xdr:nvPicPr>
        <xdr:cNvPr id="7" name="image8.jpg">
          <a:extLst>
            <a:ext uri="{FF2B5EF4-FFF2-40B4-BE49-F238E27FC236}">
              <a16:creationId xmlns:a16="http://schemas.microsoft.com/office/drawing/2014/main" id="{00000000-0008-0000-0900-00000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7</xdr:row>
      <xdr:rowOff>0</xdr:rowOff>
    </xdr:from>
    <xdr:ext cx="381000" cy="381000"/>
    <xdr:pic>
      <xdr:nvPicPr>
        <xdr:cNvPr id="8" name="image8.jpg">
          <a:extLst>
            <a:ext uri="{FF2B5EF4-FFF2-40B4-BE49-F238E27FC236}">
              <a16:creationId xmlns:a16="http://schemas.microsoft.com/office/drawing/2014/main" id="{00000000-0008-0000-0900-000008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8</xdr:row>
      <xdr:rowOff>0</xdr:rowOff>
    </xdr:from>
    <xdr:ext cx="381000" cy="381000"/>
    <xdr:pic>
      <xdr:nvPicPr>
        <xdr:cNvPr id="9" name="image8.jpg">
          <a:extLst>
            <a:ext uri="{FF2B5EF4-FFF2-40B4-BE49-F238E27FC236}">
              <a16:creationId xmlns:a16="http://schemas.microsoft.com/office/drawing/2014/main" id="{00000000-0008-0000-0900-00000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9</xdr:row>
      <xdr:rowOff>0</xdr:rowOff>
    </xdr:from>
    <xdr:ext cx="381000" cy="381000"/>
    <xdr:pic>
      <xdr:nvPicPr>
        <xdr:cNvPr id="10" name="image8.jpg">
          <a:extLst>
            <a:ext uri="{FF2B5EF4-FFF2-40B4-BE49-F238E27FC236}">
              <a16:creationId xmlns:a16="http://schemas.microsoft.com/office/drawing/2014/main" id="{00000000-0008-0000-0900-00000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10</xdr:row>
      <xdr:rowOff>0</xdr:rowOff>
    </xdr:from>
    <xdr:ext cx="381000" cy="381000"/>
    <xdr:pic>
      <xdr:nvPicPr>
        <xdr:cNvPr id="11" name="image8.jpg">
          <a:extLst>
            <a:ext uri="{FF2B5EF4-FFF2-40B4-BE49-F238E27FC236}">
              <a16:creationId xmlns:a16="http://schemas.microsoft.com/office/drawing/2014/main" id="{00000000-0008-0000-0900-00000B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11</xdr:row>
      <xdr:rowOff>0</xdr:rowOff>
    </xdr:from>
    <xdr:ext cx="381000" cy="381000"/>
    <xdr:pic>
      <xdr:nvPicPr>
        <xdr:cNvPr id="12" name="image8.jpg">
          <a:extLst>
            <a:ext uri="{FF2B5EF4-FFF2-40B4-BE49-F238E27FC236}">
              <a16:creationId xmlns:a16="http://schemas.microsoft.com/office/drawing/2014/main" id="{00000000-0008-0000-0900-00000C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12</xdr:row>
      <xdr:rowOff>0</xdr:rowOff>
    </xdr:from>
    <xdr:ext cx="381000" cy="381000"/>
    <xdr:pic>
      <xdr:nvPicPr>
        <xdr:cNvPr id="13" name="image8.jpg">
          <a:extLst>
            <a:ext uri="{FF2B5EF4-FFF2-40B4-BE49-F238E27FC236}">
              <a16:creationId xmlns:a16="http://schemas.microsoft.com/office/drawing/2014/main" id="{00000000-0008-0000-0900-00000D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13</xdr:row>
      <xdr:rowOff>0</xdr:rowOff>
    </xdr:from>
    <xdr:ext cx="381000" cy="381000"/>
    <xdr:pic>
      <xdr:nvPicPr>
        <xdr:cNvPr id="14" name="image8.jpg">
          <a:extLst>
            <a:ext uri="{FF2B5EF4-FFF2-40B4-BE49-F238E27FC236}">
              <a16:creationId xmlns:a16="http://schemas.microsoft.com/office/drawing/2014/main" id="{00000000-0008-0000-0900-00000E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14</xdr:row>
      <xdr:rowOff>0</xdr:rowOff>
    </xdr:from>
    <xdr:ext cx="381000" cy="381000"/>
    <xdr:pic>
      <xdr:nvPicPr>
        <xdr:cNvPr id="15" name="image8.jpg">
          <a:extLst>
            <a:ext uri="{FF2B5EF4-FFF2-40B4-BE49-F238E27FC236}">
              <a16:creationId xmlns:a16="http://schemas.microsoft.com/office/drawing/2014/main" id="{00000000-0008-0000-0900-00000F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15</xdr:row>
      <xdr:rowOff>0</xdr:rowOff>
    </xdr:from>
    <xdr:ext cx="381000" cy="381000"/>
    <xdr:pic>
      <xdr:nvPicPr>
        <xdr:cNvPr id="16" name="image8.jpg">
          <a:extLst>
            <a:ext uri="{FF2B5EF4-FFF2-40B4-BE49-F238E27FC236}">
              <a16:creationId xmlns:a16="http://schemas.microsoft.com/office/drawing/2014/main" id="{00000000-0008-0000-0900-000010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16</xdr:row>
      <xdr:rowOff>0</xdr:rowOff>
    </xdr:from>
    <xdr:ext cx="381000" cy="381000"/>
    <xdr:pic>
      <xdr:nvPicPr>
        <xdr:cNvPr id="17" name="image8.jpg">
          <a:extLst>
            <a:ext uri="{FF2B5EF4-FFF2-40B4-BE49-F238E27FC236}">
              <a16:creationId xmlns:a16="http://schemas.microsoft.com/office/drawing/2014/main" id="{00000000-0008-0000-0900-000011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17</xdr:row>
      <xdr:rowOff>0</xdr:rowOff>
    </xdr:from>
    <xdr:ext cx="381000" cy="381000"/>
    <xdr:pic>
      <xdr:nvPicPr>
        <xdr:cNvPr id="18" name="image49.jpg">
          <a:extLst>
            <a:ext uri="{FF2B5EF4-FFF2-40B4-BE49-F238E27FC236}">
              <a16:creationId xmlns:a16="http://schemas.microsoft.com/office/drawing/2014/main" id="{00000000-0008-0000-0900-000012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18</xdr:row>
      <xdr:rowOff>0</xdr:rowOff>
    </xdr:from>
    <xdr:ext cx="381000" cy="381000"/>
    <xdr:pic>
      <xdr:nvPicPr>
        <xdr:cNvPr id="19" name="image153.png">
          <a:extLst>
            <a:ext uri="{FF2B5EF4-FFF2-40B4-BE49-F238E27FC236}">
              <a16:creationId xmlns:a16="http://schemas.microsoft.com/office/drawing/2014/main" id="{00000000-0008-0000-0900-00001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19</xdr:row>
      <xdr:rowOff>0</xdr:rowOff>
    </xdr:from>
    <xdr:ext cx="381000" cy="381000"/>
    <xdr:pic>
      <xdr:nvPicPr>
        <xdr:cNvPr id="20" name="image258.jpg">
          <a:extLst>
            <a:ext uri="{FF2B5EF4-FFF2-40B4-BE49-F238E27FC236}">
              <a16:creationId xmlns:a16="http://schemas.microsoft.com/office/drawing/2014/main" id="{00000000-0008-0000-0900-000014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20</xdr:row>
      <xdr:rowOff>0</xdr:rowOff>
    </xdr:from>
    <xdr:ext cx="381000" cy="381000"/>
    <xdr:pic>
      <xdr:nvPicPr>
        <xdr:cNvPr id="21" name="image20.png">
          <a:extLst>
            <a:ext uri="{FF2B5EF4-FFF2-40B4-BE49-F238E27FC236}">
              <a16:creationId xmlns:a16="http://schemas.microsoft.com/office/drawing/2014/main" id="{00000000-0008-0000-0900-000015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21</xdr:row>
      <xdr:rowOff>0</xdr:rowOff>
    </xdr:from>
    <xdr:ext cx="381000" cy="381000"/>
    <xdr:pic>
      <xdr:nvPicPr>
        <xdr:cNvPr id="22" name="image20.png">
          <a:extLst>
            <a:ext uri="{FF2B5EF4-FFF2-40B4-BE49-F238E27FC236}">
              <a16:creationId xmlns:a16="http://schemas.microsoft.com/office/drawing/2014/main" id="{00000000-0008-0000-0900-00001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22</xdr:row>
      <xdr:rowOff>0</xdr:rowOff>
    </xdr:from>
    <xdr:ext cx="381000" cy="381000"/>
    <xdr:pic>
      <xdr:nvPicPr>
        <xdr:cNvPr id="23" name="image20.png">
          <a:extLst>
            <a:ext uri="{FF2B5EF4-FFF2-40B4-BE49-F238E27FC236}">
              <a16:creationId xmlns:a16="http://schemas.microsoft.com/office/drawing/2014/main" id="{00000000-0008-0000-0900-000017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23</xdr:row>
      <xdr:rowOff>0</xdr:rowOff>
    </xdr:from>
    <xdr:ext cx="381000" cy="381000"/>
    <xdr:pic>
      <xdr:nvPicPr>
        <xdr:cNvPr id="24" name="image20.png">
          <a:extLst>
            <a:ext uri="{FF2B5EF4-FFF2-40B4-BE49-F238E27FC236}">
              <a16:creationId xmlns:a16="http://schemas.microsoft.com/office/drawing/2014/main" id="{00000000-0008-0000-0900-00001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24</xdr:row>
      <xdr:rowOff>0</xdr:rowOff>
    </xdr:from>
    <xdr:ext cx="381000" cy="381000"/>
    <xdr:pic>
      <xdr:nvPicPr>
        <xdr:cNvPr id="25" name="image20.png">
          <a:extLst>
            <a:ext uri="{FF2B5EF4-FFF2-40B4-BE49-F238E27FC236}">
              <a16:creationId xmlns:a16="http://schemas.microsoft.com/office/drawing/2014/main" id="{00000000-0008-0000-0900-00001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25</xdr:row>
      <xdr:rowOff>0</xdr:rowOff>
    </xdr:from>
    <xdr:ext cx="381000" cy="381000"/>
    <xdr:pic>
      <xdr:nvPicPr>
        <xdr:cNvPr id="26" name="image20.png">
          <a:extLst>
            <a:ext uri="{FF2B5EF4-FFF2-40B4-BE49-F238E27FC236}">
              <a16:creationId xmlns:a16="http://schemas.microsoft.com/office/drawing/2014/main" id="{00000000-0008-0000-0900-00001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26</xdr:row>
      <xdr:rowOff>0</xdr:rowOff>
    </xdr:from>
    <xdr:ext cx="381000" cy="381000"/>
    <xdr:pic>
      <xdr:nvPicPr>
        <xdr:cNvPr id="27" name="image20.png">
          <a:extLst>
            <a:ext uri="{FF2B5EF4-FFF2-40B4-BE49-F238E27FC236}">
              <a16:creationId xmlns:a16="http://schemas.microsoft.com/office/drawing/2014/main" id="{00000000-0008-0000-0900-00001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27</xdr:row>
      <xdr:rowOff>0</xdr:rowOff>
    </xdr:from>
    <xdr:ext cx="381000" cy="381000"/>
    <xdr:pic>
      <xdr:nvPicPr>
        <xdr:cNvPr id="28" name="image20.png">
          <a:extLst>
            <a:ext uri="{FF2B5EF4-FFF2-40B4-BE49-F238E27FC236}">
              <a16:creationId xmlns:a16="http://schemas.microsoft.com/office/drawing/2014/main" id="{00000000-0008-0000-0900-00001C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28</xdr:row>
      <xdr:rowOff>0</xdr:rowOff>
    </xdr:from>
    <xdr:ext cx="381000" cy="381000"/>
    <xdr:pic>
      <xdr:nvPicPr>
        <xdr:cNvPr id="29" name="image20.png">
          <a:extLst>
            <a:ext uri="{FF2B5EF4-FFF2-40B4-BE49-F238E27FC236}">
              <a16:creationId xmlns:a16="http://schemas.microsoft.com/office/drawing/2014/main" id="{00000000-0008-0000-0900-00001D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29</xdr:row>
      <xdr:rowOff>0</xdr:rowOff>
    </xdr:from>
    <xdr:ext cx="381000" cy="381000"/>
    <xdr:pic>
      <xdr:nvPicPr>
        <xdr:cNvPr id="30" name="image49.jpg">
          <a:extLst>
            <a:ext uri="{FF2B5EF4-FFF2-40B4-BE49-F238E27FC236}">
              <a16:creationId xmlns:a16="http://schemas.microsoft.com/office/drawing/2014/main" id="{00000000-0008-0000-0900-00001E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30</xdr:row>
      <xdr:rowOff>0</xdr:rowOff>
    </xdr:from>
    <xdr:ext cx="381000" cy="381000"/>
    <xdr:pic>
      <xdr:nvPicPr>
        <xdr:cNvPr id="31" name="image153.png">
          <a:extLst>
            <a:ext uri="{FF2B5EF4-FFF2-40B4-BE49-F238E27FC236}">
              <a16:creationId xmlns:a16="http://schemas.microsoft.com/office/drawing/2014/main" id="{00000000-0008-0000-0900-00001F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31</xdr:row>
      <xdr:rowOff>0</xdr:rowOff>
    </xdr:from>
    <xdr:ext cx="381000" cy="381000"/>
    <xdr:pic>
      <xdr:nvPicPr>
        <xdr:cNvPr id="32" name="image258.jpg">
          <a:extLst>
            <a:ext uri="{FF2B5EF4-FFF2-40B4-BE49-F238E27FC236}">
              <a16:creationId xmlns:a16="http://schemas.microsoft.com/office/drawing/2014/main" id="{00000000-0008-0000-0900-000020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32</xdr:row>
      <xdr:rowOff>0</xdr:rowOff>
    </xdr:from>
    <xdr:ext cx="381000" cy="381000"/>
    <xdr:pic>
      <xdr:nvPicPr>
        <xdr:cNvPr id="33" name="image8.jpg">
          <a:extLst>
            <a:ext uri="{FF2B5EF4-FFF2-40B4-BE49-F238E27FC236}">
              <a16:creationId xmlns:a16="http://schemas.microsoft.com/office/drawing/2014/main" id="{00000000-0008-0000-0900-000021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33</xdr:row>
      <xdr:rowOff>0</xdr:rowOff>
    </xdr:from>
    <xdr:ext cx="381000" cy="381000"/>
    <xdr:pic>
      <xdr:nvPicPr>
        <xdr:cNvPr id="34" name="image8.jpg">
          <a:extLst>
            <a:ext uri="{FF2B5EF4-FFF2-40B4-BE49-F238E27FC236}">
              <a16:creationId xmlns:a16="http://schemas.microsoft.com/office/drawing/2014/main" id="{00000000-0008-0000-0900-000022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34</xdr:row>
      <xdr:rowOff>0</xdr:rowOff>
    </xdr:from>
    <xdr:ext cx="381000" cy="381000"/>
    <xdr:pic>
      <xdr:nvPicPr>
        <xdr:cNvPr id="35" name="image8.jpg">
          <a:extLst>
            <a:ext uri="{FF2B5EF4-FFF2-40B4-BE49-F238E27FC236}">
              <a16:creationId xmlns:a16="http://schemas.microsoft.com/office/drawing/2014/main" id="{00000000-0008-0000-0900-00002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35</xdr:row>
      <xdr:rowOff>0</xdr:rowOff>
    </xdr:from>
    <xdr:ext cx="381000" cy="381000"/>
    <xdr:pic>
      <xdr:nvPicPr>
        <xdr:cNvPr id="36" name="image8.jpg">
          <a:extLst>
            <a:ext uri="{FF2B5EF4-FFF2-40B4-BE49-F238E27FC236}">
              <a16:creationId xmlns:a16="http://schemas.microsoft.com/office/drawing/2014/main" id="{00000000-0008-0000-0900-00002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36</xdr:row>
      <xdr:rowOff>0</xdr:rowOff>
    </xdr:from>
    <xdr:ext cx="381000" cy="381000"/>
    <xdr:pic>
      <xdr:nvPicPr>
        <xdr:cNvPr id="37" name="image8.jpg">
          <a:extLst>
            <a:ext uri="{FF2B5EF4-FFF2-40B4-BE49-F238E27FC236}">
              <a16:creationId xmlns:a16="http://schemas.microsoft.com/office/drawing/2014/main" id="{00000000-0008-0000-0900-000025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37</xdr:row>
      <xdr:rowOff>0</xdr:rowOff>
    </xdr:from>
    <xdr:ext cx="381000" cy="381000"/>
    <xdr:pic>
      <xdr:nvPicPr>
        <xdr:cNvPr id="38" name="image8.jpg">
          <a:extLst>
            <a:ext uri="{FF2B5EF4-FFF2-40B4-BE49-F238E27FC236}">
              <a16:creationId xmlns:a16="http://schemas.microsoft.com/office/drawing/2014/main" id="{00000000-0008-0000-0900-00002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38</xdr:row>
      <xdr:rowOff>0</xdr:rowOff>
    </xdr:from>
    <xdr:ext cx="381000" cy="381000"/>
    <xdr:pic>
      <xdr:nvPicPr>
        <xdr:cNvPr id="39" name="image8.jpg">
          <a:extLst>
            <a:ext uri="{FF2B5EF4-FFF2-40B4-BE49-F238E27FC236}">
              <a16:creationId xmlns:a16="http://schemas.microsoft.com/office/drawing/2014/main" id="{00000000-0008-0000-0900-00002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39</xdr:row>
      <xdr:rowOff>0</xdr:rowOff>
    </xdr:from>
    <xdr:ext cx="381000" cy="381000"/>
    <xdr:pic>
      <xdr:nvPicPr>
        <xdr:cNvPr id="40" name="image8.jpg">
          <a:extLst>
            <a:ext uri="{FF2B5EF4-FFF2-40B4-BE49-F238E27FC236}">
              <a16:creationId xmlns:a16="http://schemas.microsoft.com/office/drawing/2014/main" id="{00000000-0008-0000-0900-000028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40</xdr:row>
      <xdr:rowOff>0</xdr:rowOff>
    </xdr:from>
    <xdr:ext cx="381000" cy="381000"/>
    <xdr:pic>
      <xdr:nvPicPr>
        <xdr:cNvPr id="41" name="image8.jpg">
          <a:extLst>
            <a:ext uri="{FF2B5EF4-FFF2-40B4-BE49-F238E27FC236}">
              <a16:creationId xmlns:a16="http://schemas.microsoft.com/office/drawing/2014/main" id="{00000000-0008-0000-0900-00002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41</xdr:row>
      <xdr:rowOff>0</xdr:rowOff>
    </xdr:from>
    <xdr:ext cx="381000" cy="381000"/>
    <xdr:pic>
      <xdr:nvPicPr>
        <xdr:cNvPr id="42" name="image8.jpg">
          <a:extLst>
            <a:ext uri="{FF2B5EF4-FFF2-40B4-BE49-F238E27FC236}">
              <a16:creationId xmlns:a16="http://schemas.microsoft.com/office/drawing/2014/main" id="{00000000-0008-0000-0900-00002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0</xdr:colOff>
      <xdr:row>42</xdr:row>
      <xdr:rowOff>0</xdr:rowOff>
    </xdr:from>
    <xdr:ext cx="381000" cy="381000"/>
    <xdr:pic>
      <xdr:nvPicPr>
        <xdr:cNvPr id="43" name="image153.png">
          <a:extLst>
            <a:ext uri="{FF2B5EF4-FFF2-40B4-BE49-F238E27FC236}">
              <a16:creationId xmlns:a16="http://schemas.microsoft.com/office/drawing/2014/main" id="{00000000-0008-0000-0900-00002B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43</xdr:row>
      <xdr:rowOff>0</xdr:rowOff>
    </xdr:from>
    <xdr:ext cx="381000" cy="381000"/>
    <xdr:pic>
      <xdr:nvPicPr>
        <xdr:cNvPr id="44" name="image14.jpg">
          <a:extLst>
            <a:ext uri="{FF2B5EF4-FFF2-40B4-BE49-F238E27FC236}">
              <a16:creationId xmlns:a16="http://schemas.microsoft.com/office/drawing/2014/main" id="{00000000-0008-0000-0900-00002C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44</xdr:row>
      <xdr:rowOff>0</xdr:rowOff>
    </xdr:from>
    <xdr:ext cx="381000" cy="381000"/>
    <xdr:pic>
      <xdr:nvPicPr>
        <xdr:cNvPr id="45" name="image218.jpg">
          <a:extLst>
            <a:ext uri="{FF2B5EF4-FFF2-40B4-BE49-F238E27FC236}">
              <a16:creationId xmlns:a16="http://schemas.microsoft.com/office/drawing/2014/main" id="{00000000-0008-0000-0900-00002D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45</xdr:row>
      <xdr:rowOff>0</xdr:rowOff>
    </xdr:from>
    <xdr:ext cx="381000" cy="381000"/>
    <xdr:pic>
      <xdr:nvPicPr>
        <xdr:cNvPr id="46" name="image218.jpg">
          <a:extLst>
            <a:ext uri="{FF2B5EF4-FFF2-40B4-BE49-F238E27FC236}">
              <a16:creationId xmlns:a16="http://schemas.microsoft.com/office/drawing/2014/main" id="{00000000-0008-0000-0900-00002E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46</xdr:row>
      <xdr:rowOff>0</xdr:rowOff>
    </xdr:from>
    <xdr:ext cx="381000" cy="381000"/>
    <xdr:pic>
      <xdr:nvPicPr>
        <xdr:cNvPr id="47" name="image218.jpg">
          <a:extLst>
            <a:ext uri="{FF2B5EF4-FFF2-40B4-BE49-F238E27FC236}">
              <a16:creationId xmlns:a16="http://schemas.microsoft.com/office/drawing/2014/main" id="{00000000-0008-0000-0900-00002F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47</xdr:row>
      <xdr:rowOff>0</xdr:rowOff>
    </xdr:from>
    <xdr:ext cx="381000" cy="381000"/>
    <xdr:pic>
      <xdr:nvPicPr>
        <xdr:cNvPr id="48" name="image218.jpg">
          <a:extLst>
            <a:ext uri="{FF2B5EF4-FFF2-40B4-BE49-F238E27FC236}">
              <a16:creationId xmlns:a16="http://schemas.microsoft.com/office/drawing/2014/main" id="{00000000-0008-0000-0900-000030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48</xdr:row>
      <xdr:rowOff>0</xdr:rowOff>
    </xdr:from>
    <xdr:ext cx="381000" cy="381000"/>
    <xdr:pic>
      <xdr:nvPicPr>
        <xdr:cNvPr id="49" name="image218.jpg">
          <a:extLst>
            <a:ext uri="{FF2B5EF4-FFF2-40B4-BE49-F238E27FC236}">
              <a16:creationId xmlns:a16="http://schemas.microsoft.com/office/drawing/2014/main" id="{00000000-0008-0000-0900-000031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49</xdr:row>
      <xdr:rowOff>0</xdr:rowOff>
    </xdr:from>
    <xdr:ext cx="381000" cy="381000"/>
    <xdr:pic>
      <xdr:nvPicPr>
        <xdr:cNvPr id="50" name="image218.jpg">
          <a:extLst>
            <a:ext uri="{FF2B5EF4-FFF2-40B4-BE49-F238E27FC236}">
              <a16:creationId xmlns:a16="http://schemas.microsoft.com/office/drawing/2014/main" id="{00000000-0008-0000-0900-000032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50</xdr:row>
      <xdr:rowOff>0</xdr:rowOff>
    </xdr:from>
    <xdr:ext cx="381000" cy="381000"/>
    <xdr:pic>
      <xdr:nvPicPr>
        <xdr:cNvPr id="51" name="image218.jpg">
          <a:extLst>
            <a:ext uri="{FF2B5EF4-FFF2-40B4-BE49-F238E27FC236}">
              <a16:creationId xmlns:a16="http://schemas.microsoft.com/office/drawing/2014/main" id="{00000000-0008-0000-0900-000033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51</xdr:row>
      <xdr:rowOff>0</xdr:rowOff>
    </xdr:from>
    <xdr:ext cx="381000" cy="381000"/>
    <xdr:pic>
      <xdr:nvPicPr>
        <xdr:cNvPr id="52" name="image218.jpg">
          <a:extLst>
            <a:ext uri="{FF2B5EF4-FFF2-40B4-BE49-F238E27FC236}">
              <a16:creationId xmlns:a16="http://schemas.microsoft.com/office/drawing/2014/main" id="{00000000-0008-0000-0900-000034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52</xdr:row>
      <xdr:rowOff>0</xdr:rowOff>
    </xdr:from>
    <xdr:ext cx="381000" cy="381000"/>
    <xdr:pic>
      <xdr:nvPicPr>
        <xdr:cNvPr id="53" name="image218.jpg">
          <a:extLst>
            <a:ext uri="{FF2B5EF4-FFF2-40B4-BE49-F238E27FC236}">
              <a16:creationId xmlns:a16="http://schemas.microsoft.com/office/drawing/2014/main" id="{00000000-0008-0000-0900-000035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53</xdr:row>
      <xdr:rowOff>0</xdr:rowOff>
    </xdr:from>
    <xdr:ext cx="381000" cy="381000"/>
    <xdr:pic>
      <xdr:nvPicPr>
        <xdr:cNvPr id="54" name="image218.jpg">
          <a:extLst>
            <a:ext uri="{FF2B5EF4-FFF2-40B4-BE49-F238E27FC236}">
              <a16:creationId xmlns:a16="http://schemas.microsoft.com/office/drawing/2014/main" id="{00000000-0008-0000-0900-000036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54</xdr:row>
      <xdr:rowOff>0</xdr:rowOff>
    </xdr:from>
    <xdr:ext cx="381000" cy="381000"/>
    <xdr:pic>
      <xdr:nvPicPr>
        <xdr:cNvPr id="55" name="image218.jpg">
          <a:extLst>
            <a:ext uri="{FF2B5EF4-FFF2-40B4-BE49-F238E27FC236}">
              <a16:creationId xmlns:a16="http://schemas.microsoft.com/office/drawing/2014/main" id="{00000000-0008-0000-0900-000037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55</xdr:row>
      <xdr:rowOff>0</xdr:rowOff>
    </xdr:from>
    <xdr:ext cx="381000" cy="381000"/>
    <xdr:pic>
      <xdr:nvPicPr>
        <xdr:cNvPr id="56" name="image218.jpg">
          <a:extLst>
            <a:ext uri="{FF2B5EF4-FFF2-40B4-BE49-F238E27FC236}">
              <a16:creationId xmlns:a16="http://schemas.microsoft.com/office/drawing/2014/main" id="{00000000-0008-0000-0900-00003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56</xdr:row>
      <xdr:rowOff>0</xdr:rowOff>
    </xdr:from>
    <xdr:ext cx="381000" cy="381000"/>
    <xdr:pic>
      <xdr:nvPicPr>
        <xdr:cNvPr id="57" name="image218.jpg">
          <a:extLst>
            <a:ext uri="{FF2B5EF4-FFF2-40B4-BE49-F238E27FC236}">
              <a16:creationId xmlns:a16="http://schemas.microsoft.com/office/drawing/2014/main" id="{00000000-0008-0000-0900-00003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57</xdr:row>
      <xdr:rowOff>0</xdr:rowOff>
    </xdr:from>
    <xdr:ext cx="381000" cy="381000"/>
    <xdr:pic>
      <xdr:nvPicPr>
        <xdr:cNvPr id="58" name="image218.jpg">
          <a:extLst>
            <a:ext uri="{FF2B5EF4-FFF2-40B4-BE49-F238E27FC236}">
              <a16:creationId xmlns:a16="http://schemas.microsoft.com/office/drawing/2014/main" id="{00000000-0008-0000-0900-00003A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58</xdr:row>
      <xdr:rowOff>0</xdr:rowOff>
    </xdr:from>
    <xdr:ext cx="381000" cy="381000"/>
    <xdr:pic>
      <xdr:nvPicPr>
        <xdr:cNvPr id="59" name="image218.jpg">
          <a:extLst>
            <a:ext uri="{FF2B5EF4-FFF2-40B4-BE49-F238E27FC236}">
              <a16:creationId xmlns:a16="http://schemas.microsoft.com/office/drawing/2014/main" id="{00000000-0008-0000-0900-00003B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59</xdr:row>
      <xdr:rowOff>0</xdr:rowOff>
    </xdr:from>
    <xdr:ext cx="381000" cy="381000"/>
    <xdr:pic>
      <xdr:nvPicPr>
        <xdr:cNvPr id="60" name="image218.jpg">
          <a:extLst>
            <a:ext uri="{FF2B5EF4-FFF2-40B4-BE49-F238E27FC236}">
              <a16:creationId xmlns:a16="http://schemas.microsoft.com/office/drawing/2014/main" id="{00000000-0008-0000-0900-00003C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60</xdr:row>
      <xdr:rowOff>0</xdr:rowOff>
    </xdr:from>
    <xdr:ext cx="381000" cy="381000"/>
    <xdr:pic>
      <xdr:nvPicPr>
        <xdr:cNvPr id="61" name="image218.jpg">
          <a:extLst>
            <a:ext uri="{FF2B5EF4-FFF2-40B4-BE49-F238E27FC236}">
              <a16:creationId xmlns:a16="http://schemas.microsoft.com/office/drawing/2014/main" id="{00000000-0008-0000-0900-00003D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61</xdr:row>
      <xdr:rowOff>0</xdr:rowOff>
    </xdr:from>
    <xdr:ext cx="381000" cy="381000"/>
    <xdr:pic>
      <xdr:nvPicPr>
        <xdr:cNvPr id="62" name="image218.jpg">
          <a:extLst>
            <a:ext uri="{FF2B5EF4-FFF2-40B4-BE49-F238E27FC236}">
              <a16:creationId xmlns:a16="http://schemas.microsoft.com/office/drawing/2014/main" id="{00000000-0008-0000-0900-00003E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62</xdr:row>
      <xdr:rowOff>0</xdr:rowOff>
    </xdr:from>
    <xdr:ext cx="381000" cy="381000"/>
    <xdr:pic>
      <xdr:nvPicPr>
        <xdr:cNvPr id="63" name="image218.jpg">
          <a:extLst>
            <a:ext uri="{FF2B5EF4-FFF2-40B4-BE49-F238E27FC236}">
              <a16:creationId xmlns:a16="http://schemas.microsoft.com/office/drawing/2014/main" id="{00000000-0008-0000-0900-00003F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63</xdr:row>
      <xdr:rowOff>0</xdr:rowOff>
    </xdr:from>
    <xdr:ext cx="381000" cy="381000"/>
    <xdr:pic>
      <xdr:nvPicPr>
        <xdr:cNvPr id="64" name="image218.jpg">
          <a:extLst>
            <a:ext uri="{FF2B5EF4-FFF2-40B4-BE49-F238E27FC236}">
              <a16:creationId xmlns:a16="http://schemas.microsoft.com/office/drawing/2014/main" id="{00000000-0008-0000-0900-000040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64</xdr:row>
      <xdr:rowOff>0</xdr:rowOff>
    </xdr:from>
    <xdr:ext cx="381000" cy="381000"/>
    <xdr:pic>
      <xdr:nvPicPr>
        <xdr:cNvPr id="65" name="image218.jpg">
          <a:extLst>
            <a:ext uri="{FF2B5EF4-FFF2-40B4-BE49-F238E27FC236}">
              <a16:creationId xmlns:a16="http://schemas.microsoft.com/office/drawing/2014/main" id="{00000000-0008-0000-0900-000041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65</xdr:row>
      <xdr:rowOff>0</xdr:rowOff>
    </xdr:from>
    <xdr:ext cx="381000" cy="381000"/>
    <xdr:pic>
      <xdr:nvPicPr>
        <xdr:cNvPr id="66" name="image218.jpg">
          <a:extLst>
            <a:ext uri="{FF2B5EF4-FFF2-40B4-BE49-F238E27FC236}">
              <a16:creationId xmlns:a16="http://schemas.microsoft.com/office/drawing/2014/main" id="{00000000-0008-0000-0900-000042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66</xdr:row>
      <xdr:rowOff>0</xdr:rowOff>
    </xdr:from>
    <xdr:ext cx="381000" cy="381000"/>
    <xdr:pic>
      <xdr:nvPicPr>
        <xdr:cNvPr id="67" name="image218.jpg">
          <a:extLst>
            <a:ext uri="{FF2B5EF4-FFF2-40B4-BE49-F238E27FC236}">
              <a16:creationId xmlns:a16="http://schemas.microsoft.com/office/drawing/2014/main" id="{00000000-0008-0000-0900-000043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xdr:col>
      <xdr:colOff>0</xdr:colOff>
      <xdr:row>67</xdr:row>
      <xdr:rowOff>0</xdr:rowOff>
    </xdr:from>
    <xdr:ext cx="381000" cy="381000"/>
    <xdr:pic>
      <xdr:nvPicPr>
        <xdr:cNvPr id="68" name="image258.jpg">
          <a:extLst>
            <a:ext uri="{FF2B5EF4-FFF2-40B4-BE49-F238E27FC236}">
              <a16:creationId xmlns:a16="http://schemas.microsoft.com/office/drawing/2014/main" id="{00000000-0008-0000-0900-000044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68</xdr:row>
      <xdr:rowOff>0</xdr:rowOff>
    </xdr:from>
    <xdr:ext cx="381000" cy="381000"/>
    <xdr:pic>
      <xdr:nvPicPr>
        <xdr:cNvPr id="69" name="image153.png">
          <a:extLst>
            <a:ext uri="{FF2B5EF4-FFF2-40B4-BE49-F238E27FC236}">
              <a16:creationId xmlns:a16="http://schemas.microsoft.com/office/drawing/2014/main" id="{00000000-0008-0000-0900-00004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69</xdr:row>
      <xdr:rowOff>0</xdr:rowOff>
    </xdr:from>
    <xdr:ext cx="381000" cy="381000"/>
    <xdr:pic>
      <xdr:nvPicPr>
        <xdr:cNvPr id="70" name="image49.jpg">
          <a:extLst>
            <a:ext uri="{FF2B5EF4-FFF2-40B4-BE49-F238E27FC236}">
              <a16:creationId xmlns:a16="http://schemas.microsoft.com/office/drawing/2014/main" id="{00000000-0008-0000-0900-000046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70</xdr:row>
      <xdr:rowOff>0</xdr:rowOff>
    </xdr:from>
    <xdr:ext cx="381000" cy="381000"/>
    <xdr:pic>
      <xdr:nvPicPr>
        <xdr:cNvPr id="71" name="image205.jpg">
          <a:extLst>
            <a:ext uri="{FF2B5EF4-FFF2-40B4-BE49-F238E27FC236}">
              <a16:creationId xmlns:a16="http://schemas.microsoft.com/office/drawing/2014/main" id="{00000000-0008-0000-0900-000047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71</xdr:row>
      <xdr:rowOff>0</xdr:rowOff>
    </xdr:from>
    <xdr:ext cx="381000" cy="381000"/>
    <xdr:pic>
      <xdr:nvPicPr>
        <xdr:cNvPr id="72" name="image205.jpg">
          <a:extLst>
            <a:ext uri="{FF2B5EF4-FFF2-40B4-BE49-F238E27FC236}">
              <a16:creationId xmlns:a16="http://schemas.microsoft.com/office/drawing/2014/main" id="{00000000-0008-0000-0900-000048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72</xdr:row>
      <xdr:rowOff>0</xdr:rowOff>
    </xdr:from>
    <xdr:ext cx="381000" cy="381000"/>
    <xdr:pic>
      <xdr:nvPicPr>
        <xdr:cNvPr id="73" name="image205.jpg">
          <a:extLst>
            <a:ext uri="{FF2B5EF4-FFF2-40B4-BE49-F238E27FC236}">
              <a16:creationId xmlns:a16="http://schemas.microsoft.com/office/drawing/2014/main" id="{00000000-0008-0000-0900-00004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73</xdr:row>
      <xdr:rowOff>0</xdr:rowOff>
    </xdr:from>
    <xdr:ext cx="381000" cy="381000"/>
    <xdr:pic>
      <xdr:nvPicPr>
        <xdr:cNvPr id="74" name="image205.jpg">
          <a:extLst>
            <a:ext uri="{FF2B5EF4-FFF2-40B4-BE49-F238E27FC236}">
              <a16:creationId xmlns:a16="http://schemas.microsoft.com/office/drawing/2014/main" id="{00000000-0008-0000-0900-00004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74</xdr:row>
      <xdr:rowOff>0</xdr:rowOff>
    </xdr:from>
    <xdr:ext cx="381000" cy="381000"/>
    <xdr:pic>
      <xdr:nvPicPr>
        <xdr:cNvPr id="75" name="image205.jpg">
          <a:extLst>
            <a:ext uri="{FF2B5EF4-FFF2-40B4-BE49-F238E27FC236}">
              <a16:creationId xmlns:a16="http://schemas.microsoft.com/office/drawing/2014/main" id="{00000000-0008-0000-0900-00004B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75</xdr:row>
      <xdr:rowOff>0</xdr:rowOff>
    </xdr:from>
    <xdr:ext cx="381000" cy="381000"/>
    <xdr:pic>
      <xdr:nvPicPr>
        <xdr:cNvPr id="76" name="image205.jpg">
          <a:extLst>
            <a:ext uri="{FF2B5EF4-FFF2-40B4-BE49-F238E27FC236}">
              <a16:creationId xmlns:a16="http://schemas.microsoft.com/office/drawing/2014/main" id="{00000000-0008-0000-0900-00004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76</xdr:row>
      <xdr:rowOff>0</xdr:rowOff>
    </xdr:from>
    <xdr:ext cx="381000" cy="381000"/>
    <xdr:pic>
      <xdr:nvPicPr>
        <xdr:cNvPr id="77" name="image205.jpg">
          <a:extLst>
            <a:ext uri="{FF2B5EF4-FFF2-40B4-BE49-F238E27FC236}">
              <a16:creationId xmlns:a16="http://schemas.microsoft.com/office/drawing/2014/main" id="{00000000-0008-0000-0900-00004D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77</xdr:row>
      <xdr:rowOff>0</xdr:rowOff>
    </xdr:from>
    <xdr:ext cx="381000" cy="381000"/>
    <xdr:pic>
      <xdr:nvPicPr>
        <xdr:cNvPr id="78" name="image205.jpg">
          <a:extLst>
            <a:ext uri="{FF2B5EF4-FFF2-40B4-BE49-F238E27FC236}">
              <a16:creationId xmlns:a16="http://schemas.microsoft.com/office/drawing/2014/main" id="{00000000-0008-0000-0900-00004E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78</xdr:row>
      <xdr:rowOff>0</xdr:rowOff>
    </xdr:from>
    <xdr:ext cx="381000" cy="381000"/>
    <xdr:pic>
      <xdr:nvPicPr>
        <xdr:cNvPr id="79" name="image205.jpg">
          <a:extLst>
            <a:ext uri="{FF2B5EF4-FFF2-40B4-BE49-F238E27FC236}">
              <a16:creationId xmlns:a16="http://schemas.microsoft.com/office/drawing/2014/main" id="{00000000-0008-0000-0900-00004F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79</xdr:row>
      <xdr:rowOff>0</xdr:rowOff>
    </xdr:from>
    <xdr:ext cx="381000" cy="381000"/>
    <xdr:pic>
      <xdr:nvPicPr>
        <xdr:cNvPr id="80" name="image205.jpg">
          <a:extLst>
            <a:ext uri="{FF2B5EF4-FFF2-40B4-BE49-F238E27FC236}">
              <a16:creationId xmlns:a16="http://schemas.microsoft.com/office/drawing/2014/main" id="{00000000-0008-0000-0900-000050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80</xdr:row>
      <xdr:rowOff>0</xdr:rowOff>
    </xdr:from>
    <xdr:ext cx="381000" cy="381000"/>
    <xdr:pic>
      <xdr:nvPicPr>
        <xdr:cNvPr id="81" name="image49.jpg">
          <a:extLst>
            <a:ext uri="{FF2B5EF4-FFF2-40B4-BE49-F238E27FC236}">
              <a16:creationId xmlns:a16="http://schemas.microsoft.com/office/drawing/2014/main" id="{00000000-0008-0000-0900-000051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81</xdr:row>
      <xdr:rowOff>0</xdr:rowOff>
    </xdr:from>
    <xdr:ext cx="381000" cy="381000"/>
    <xdr:pic>
      <xdr:nvPicPr>
        <xdr:cNvPr id="82" name="image258.jpg">
          <a:extLst>
            <a:ext uri="{FF2B5EF4-FFF2-40B4-BE49-F238E27FC236}">
              <a16:creationId xmlns:a16="http://schemas.microsoft.com/office/drawing/2014/main" id="{00000000-0008-0000-0900-000052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82</xdr:row>
      <xdr:rowOff>0</xdr:rowOff>
    </xdr:from>
    <xdr:ext cx="381000" cy="381000"/>
    <xdr:pic>
      <xdr:nvPicPr>
        <xdr:cNvPr id="83" name="image205.jpg">
          <a:extLst>
            <a:ext uri="{FF2B5EF4-FFF2-40B4-BE49-F238E27FC236}">
              <a16:creationId xmlns:a16="http://schemas.microsoft.com/office/drawing/2014/main" id="{00000000-0008-0000-0900-000053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83</xdr:row>
      <xdr:rowOff>0</xdr:rowOff>
    </xdr:from>
    <xdr:ext cx="381000" cy="381000"/>
    <xdr:pic>
      <xdr:nvPicPr>
        <xdr:cNvPr id="84" name="image205.jpg">
          <a:extLst>
            <a:ext uri="{FF2B5EF4-FFF2-40B4-BE49-F238E27FC236}">
              <a16:creationId xmlns:a16="http://schemas.microsoft.com/office/drawing/2014/main" id="{00000000-0008-0000-0900-000054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84</xdr:row>
      <xdr:rowOff>0</xdr:rowOff>
    </xdr:from>
    <xdr:ext cx="381000" cy="381000"/>
    <xdr:pic>
      <xdr:nvPicPr>
        <xdr:cNvPr id="85" name="image205.jpg">
          <a:extLst>
            <a:ext uri="{FF2B5EF4-FFF2-40B4-BE49-F238E27FC236}">
              <a16:creationId xmlns:a16="http://schemas.microsoft.com/office/drawing/2014/main" id="{00000000-0008-0000-0900-000055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85</xdr:row>
      <xdr:rowOff>0</xdr:rowOff>
    </xdr:from>
    <xdr:ext cx="381000" cy="381000"/>
    <xdr:pic>
      <xdr:nvPicPr>
        <xdr:cNvPr id="86" name="image205.jpg">
          <a:extLst>
            <a:ext uri="{FF2B5EF4-FFF2-40B4-BE49-F238E27FC236}">
              <a16:creationId xmlns:a16="http://schemas.microsoft.com/office/drawing/2014/main" id="{00000000-0008-0000-0900-000056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86</xdr:row>
      <xdr:rowOff>0</xdr:rowOff>
    </xdr:from>
    <xdr:ext cx="381000" cy="381000"/>
    <xdr:pic>
      <xdr:nvPicPr>
        <xdr:cNvPr id="87" name="image205.jpg">
          <a:extLst>
            <a:ext uri="{FF2B5EF4-FFF2-40B4-BE49-F238E27FC236}">
              <a16:creationId xmlns:a16="http://schemas.microsoft.com/office/drawing/2014/main" id="{00000000-0008-0000-0900-000057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87</xdr:row>
      <xdr:rowOff>0</xdr:rowOff>
    </xdr:from>
    <xdr:ext cx="381000" cy="381000"/>
    <xdr:pic>
      <xdr:nvPicPr>
        <xdr:cNvPr id="88" name="image205.jpg">
          <a:extLst>
            <a:ext uri="{FF2B5EF4-FFF2-40B4-BE49-F238E27FC236}">
              <a16:creationId xmlns:a16="http://schemas.microsoft.com/office/drawing/2014/main" id="{00000000-0008-0000-0900-000058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88</xdr:row>
      <xdr:rowOff>0</xdr:rowOff>
    </xdr:from>
    <xdr:ext cx="381000" cy="381000"/>
    <xdr:pic>
      <xdr:nvPicPr>
        <xdr:cNvPr id="89" name="image205.jpg">
          <a:extLst>
            <a:ext uri="{FF2B5EF4-FFF2-40B4-BE49-F238E27FC236}">
              <a16:creationId xmlns:a16="http://schemas.microsoft.com/office/drawing/2014/main" id="{00000000-0008-0000-0900-00005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89</xdr:row>
      <xdr:rowOff>0</xdr:rowOff>
    </xdr:from>
    <xdr:ext cx="381000" cy="381000"/>
    <xdr:pic>
      <xdr:nvPicPr>
        <xdr:cNvPr id="90" name="image205.jpg">
          <a:extLst>
            <a:ext uri="{FF2B5EF4-FFF2-40B4-BE49-F238E27FC236}">
              <a16:creationId xmlns:a16="http://schemas.microsoft.com/office/drawing/2014/main" id="{00000000-0008-0000-0900-00005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90</xdr:row>
      <xdr:rowOff>0</xdr:rowOff>
    </xdr:from>
    <xdr:ext cx="381000" cy="381000"/>
    <xdr:pic>
      <xdr:nvPicPr>
        <xdr:cNvPr id="91" name="image205.jpg">
          <a:extLst>
            <a:ext uri="{FF2B5EF4-FFF2-40B4-BE49-F238E27FC236}">
              <a16:creationId xmlns:a16="http://schemas.microsoft.com/office/drawing/2014/main" id="{00000000-0008-0000-0900-00005B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91</xdr:row>
      <xdr:rowOff>0</xdr:rowOff>
    </xdr:from>
    <xdr:ext cx="381000" cy="381000"/>
    <xdr:pic>
      <xdr:nvPicPr>
        <xdr:cNvPr id="92" name="image205.jpg">
          <a:extLst>
            <a:ext uri="{FF2B5EF4-FFF2-40B4-BE49-F238E27FC236}">
              <a16:creationId xmlns:a16="http://schemas.microsoft.com/office/drawing/2014/main" id="{00000000-0008-0000-0900-00005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92</xdr:row>
      <xdr:rowOff>0</xdr:rowOff>
    </xdr:from>
    <xdr:ext cx="381000" cy="381000"/>
    <xdr:pic>
      <xdr:nvPicPr>
        <xdr:cNvPr id="93" name="image205.jpg">
          <a:extLst>
            <a:ext uri="{FF2B5EF4-FFF2-40B4-BE49-F238E27FC236}">
              <a16:creationId xmlns:a16="http://schemas.microsoft.com/office/drawing/2014/main" id="{00000000-0008-0000-0900-00005D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93</xdr:row>
      <xdr:rowOff>0</xdr:rowOff>
    </xdr:from>
    <xdr:ext cx="381000" cy="381000"/>
    <xdr:pic>
      <xdr:nvPicPr>
        <xdr:cNvPr id="94" name="image205.jpg">
          <a:extLst>
            <a:ext uri="{FF2B5EF4-FFF2-40B4-BE49-F238E27FC236}">
              <a16:creationId xmlns:a16="http://schemas.microsoft.com/office/drawing/2014/main" id="{00000000-0008-0000-0900-00005E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94</xdr:row>
      <xdr:rowOff>0</xdr:rowOff>
    </xdr:from>
    <xdr:ext cx="381000" cy="381000"/>
    <xdr:pic>
      <xdr:nvPicPr>
        <xdr:cNvPr id="95" name="image49.jpg">
          <a:extLst>
            <a:ext uri="{FF2B5EF4-FFF2-40B4-BE49-F238E27FC236}">
              <a16:creationId xmlns:a16="http://schemas.microsoft.com/office/drawing/2014/main" id="{00000000-0008-0000-0900-00005F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95</xdr:row>
      <xdr:rowOff>0</xdr:rowOff>
    </xdr:from>
    <xdr:ext cx="381000" cy="381000"/>
    <xdr:pic>
      <xdr:nvPicPr>
        <xdr:cNvPr id="96" name="image258.jpg">
          <a:extLst>
            <a:ext uri="{FF2B5EF4-FFF2-40B4-BE49-F238E27FC236}">
              <a16:creationId xmlns:a16="http://schemas.microsoft.com/office/drawing/2014/main" id="{00000000-0008-0000-0900-000060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96</xdr:row>
      <xdr:rowOff>0</xdr:rowOff>
    </xdr:from>
    <xdr:ext cx="381000" cy="381000"/>
    <xdr:pic>
      <xdr:nvPicPr>
        <xdr:cNvPr id="97" name="image205.jpg">
          <a:extLst>
            <a:ext uri="{FF2B5EF4-FFF2-40B4-BE49-F238E27FC236}">
              <a16:creationId xmlns:a16="http://schemas.microsoft.com/office/drawing/2014/main" id="{00000000-0008-0000-0900-000061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97</xdr:row>
      <xdr:rowOff>0</xdr:rowOff>
    </xdr:from>
    <xdr:ext cx="381000" cy="381000"/>
    <xdr:pic>
      <xdr:nvPicPr>
        <xdr:cNvPr id="98" name="image205.jpg">
          <a:extLst>
            <a:ext uri="{FF2B5EF4-FFF2-40B4-BE49-F238E27FC236}">
              <a16:creationId xmlns:a16="http://schemas.microsoft.com/office/drawing/2014/main" id="{00000000-0008-0000-0900-000062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98</xdr:row>
      <xdr:rowOff>0</xdr:rowOff>
    </xdr:from>
    <xdr:ext cx="381000" cy="381000"/>
    <xdr:pic>
      <xdr:nvPicPr>
        <xdr:cNvPr id="99" name="image205.jpg">
          <a:extLst>
            <a:ext uri="{FF2B5EF4-FFF2-40B4-BE49-F238E27FC236}">
              <a16:creationId xmlns:a16="http://schemas.microsoft.com/office/drawing/2014/main" id="{00000000-0008-0000-0900-000063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99</xdr:row>
      <xdr:rowOff>0</xdr:rowOff>
    </xdr:from>
    <xdr:ext cx="381000" cy="381000"/>
    <xdr:pic>
      <xdr:nvPicPr>
        <xdr:cNvPr id="100" name="image205.jpg">
          <a:extLst>
            <a:ext uri="{FF2B5EF4-FFF2-40B4-BE49-F238E27FC236}">
              <a16:creationId xmlns:a16="http://schemas.microsoft.com/office/drawing/2014/main" id="{00000000-0008-0000-0900-000064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100</xdr:row>
      <xdr:rowOff>0</xdr:rowOff>
    </xdr:from>
    <xdr:ext cx="381000" cy="381000"/>
    <xdr:pic>
      <xdr:nvPicPr>
        <xdr:cNvPr id="101" name="image205.jpg">
          <a:extLst>
            <a:ext uri="{FF2B5EF4-FFF2-40B4-BE49-F238E27FC236}">
              <a16:creationId xmlns:a16="http://schemas.microsoft.com/office/drawing/2014/main" id="{00000000-0008-0000-0900-000065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101</xdr:row>
      <xdr:rowOff>0</xdr:rowOff>
    </xdr:from>
    <xdr:ext cx="381000" cy="381000"/>
    <xdr:pic>
      <xdr:nvPicPr>
        <xdr:cNvPr id="102" name="image205.jpg">
          <a:extLst>
            <a:ext uri="{FF2B5EF4-FFF2-40B4-BE49-F238E27FC236}">
              <a16:creationId xmlns:a16="http://schemas.microsoft.com/office/drawing/2014/main" id="{00000000-0008-0000-0900-000066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102</xdr:row>
      <xdr:rowOff>0</xdr:rowOff>
    </xdr:from>
    <xdr:ext cx="381000" cy="381000"/>
    <xdr:pic>
      <xdr:nvPicPr>
        <xdr:cNvPr id="103" name="image205.jpg">
          <a:extLst>
            <a:ext uri="{FF2B5EF4-FFF2-40B4-BE49-F238E27FC236}">
              <a16:creationId xmlns:a16="http://schemas.microsoft.com/office/drawing/2014/main" id="{00000000-0008-0000-0900-000067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103</xdr:row>
      <xdr:rowOff>0</xdr:rowOff>
    </xdr:from>
    <xdr:ext cx="381000" cy="381000"/>
    <xdr:pic>
      <xdr:nvPicPr>
        <xdr:cNvPr id="104" name="image205.jpg">
          <a:extLst>
            <a:ext uri="{FF2B5EF4-FFF2-40B4-BE49-F238E27FC236}">
              <a16:creationId xmlns:a16="http://schemas.microsoft.com/office/drawing/2014/main" id="{00000000-0008-0000-0900-000068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104</xdr:row>
      <xdr:rowOff>0</xdr:rowOff>
    </xdr:from>
    <xdr:ext cx="381000" cy="381000"/>
    <xdr:pic>
      <xdr:nvPicPr>
        <xdr:cNvPr id="105" name="image205.jpg">
          <a:extLst>
            <a:ext uri="{FF2B5EF4-FFF2-40B4-BE49-F238E27FC236}">
              <a16:creationId xmlns:a16="http://schemas.microsoft.com/office/drawing/2014/main" id="{00000000-0008-0000-0900-00006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105</xdr:row>
      <xdr:rowOff>0</xdr:rowOff>
    </xdr:from>
    <xdr:ext cx="381000" cy="381000"/>
    <xdr:pic>
      <xdr:nvPicPr>
        <xdr:cNvPr id="106" name="image205.jpg">
          <a:extLst>
            <a:ext uri="{FF2B5EF4-FFF2-40B4-BE49-F238E27FC236}">
              <a16:creationId xmlns:a16="http://schemas.microsoft.com/office/drawing/2014/main" id="{00000000-0008-0000-0900-00006A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106</xdr:row>
      <xdr:rowOff>0</xdr:rowOff>
    </xdr:from>
    <xdr:ext cx="381000" cy="381000"/>
    <xdr:pic>
      <xdr:nvPicPr>
        <xdr:cNvPr id="107" name="image205.jpg">
          <a:extLst>
            <a:ext uri="{FF2B5EF4-FFF2-40B4-BE49-F238E27FC236}">
              <a16:creationId xmlns:a16="http://schemas.microsoft.com/office/drawing/2014/main" id="{00000000-0008-0000-0900-00006B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107</xdr:row>
      <xdr:rowOff>0</xdr:rowOff>
    </xdr:from>
    <xdr:ext cx="381000" cy="381000"/>
    <xdr:pic>
      <xdr:nvPicPr>
        <xdr:cNvPr id="108" name="image205.jpg">
          <a:extLst>
            <a:ext uri="{FF2B5EF4-FFF2-40B4-BE49-F238E27FC236}">
              <a16:creationId xmlns:a16="http://schemas.microsoft.com/office/drawing/2014/main" id="{00000000-0008-0000-0900-00006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108</xdr:row>
      <xdr:rowOff>0</xdr:rowOff>
    </xdr:from>
    <xdr:ext cx="381000" cy="381000"/>
    <xdr:pic>
      <xdr:nvPicPr>
        <xdr:cNvPr id="109" name="image49.jpg">
          <a:extLst>
            <a:ext uri="{FF2B5EF4-FFF2-40B4-BE49-F238E27FC236}">
              <a16:creationId xmlns:a16="http://schemas.microsoft.com/office/drawing/2014/main" id="{00000000-0008-0000-0900-00006D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109</xdr:row>
      <xdr:rowOff>0</xdr:rowOff>
    </xdr:from>
    <xdr:ext cx="381000" cy="381000"/>
    <xdr:pic>
      <xdr:nvPicPr>
        <xdr:cNvPr id="110" name="image258.jpg">
          <a:extLst>
            <a:ext uri="{FF2B5EF4-FFF2-40B4-BE49-F238E27FC236}">
              <a16:creationId xmlns:a16="http://schemas.microsoft.com/office/drawing/2014/main" id="{00000000-0008-0000-0900-00006E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xdr:col>
      <xdr:colOff>0</xdr:colOff>
      <xdr:row>110</xdr:row>
      <xdr:rowOff>0</xdr:rowOff>
    </xdr:from>
    <xdr:ext cx="381000" cy="381000"/>
    <xdr:pic>
      <xdr:nvPicPr>
        <xdr:cNvPr id="111" name="image205.jpg">
          <a:extLst>
            <a:ext uri="{FF2B5EF4-FFF2-40B4-BE49-F238E27FC236}">
              <a16:creationId xmlns:a16="http://schemas.microsoft.com/office/drawing/2014/main" id="{00000000-0008-0000-0900-00006F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111</xdr:row>
      <xdr:rowOff>0</xdr:rowOff>
    </xdr:from>
    <xdr:ext cx="381000" cy="381000"/>
    <xdr:pic>
      <xdr:nvPicPr>
        <xdr:cNvPr id="112" name="image205.jpg">
          <a:extLst>
            <a:ext uri="{FF2B5EF4-FFF2-40B4-BE49-F238E27FC236}">
              <a16:creationId xmlns:a16="http://schemas.microsoft.com/office/drawing/2014/main" id="{00000000-0008-0000-0900-000070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112</xdr:row>
      <xdr:rowOff>0</xdr:rowOff>
    </xdr:from>
    <xdr:ext cx="381000" cy="381000"/>
    <xdr:pic>
      <xdr:nvPicPr>
        <xdr:cNvPr id="113" name="image205.jpg">
          <a:extLst>
            <a:ext uri="{FF2B5EF4-FFF2-40B4-BE49-F238E27FC236}">
              <a16:creationId xmlns:a16="http://schemas.microsoft.com/office/drawing/2014/main" id="{00000000-0008-0000-0900-000071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113</xdr:row>
      <xdr:rowOff>0</xdr:rowOff>
    </xdr:from>
    <xdr:ext cx="381000" cy="381000"/>
    <xdr:pic>
      <xdr:nvPicPr>
        <xdr:cNvPr id="114" name="image205.jpg">
          <a:extLst>
            <a:ext uri="{FF2B5EF4-FFF2-40B4-BE49-F238E27FC236}">
              <a16:creationId xmlns:a16="http://schemas.microsoft.com/office/drawing/2014/main" id="{00000000-0008-0000-0900-000072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114</xdr:row>
      <xdr:rowOff>0</xdr:rowOff>
    </xdr:from>
    <xdr:ext cx="381000" cy="381000"/>
    <xdr:pic>
      <xdr:nvPicPr>
        <xdr:cNvPr id="115" name="image205.jpg">
          <a:extLst>
            <a:ext uri="{FF2B5EF4-FFF2-40B4-BE49-F238E27FC236}">
              <a16:creationId xmlns:a16="http://schemas.microsoft.com/office/drawing/2014/main" id="{00000000-0008-0000-0900-000073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115</xdr:row>
      <xdr:rowOff>0</xdr:rowOff>
    </xdr:from>
    <xdr:ext cx="381000" cy="381000"/>
    <xdr:pic>
      <xdr:nvPicPr>
        <xdr:cNvPr id="116" name="image205.jpg">
          <a:extLst>
            <a:ext uri="{FF2B5EF4-FFF2-40B4-BE49-F238E27FC236}">
              <a16:creationId xmlns:a16="http://schemas.microsoft.com/office/drawing/2014/main" id="{00000000-0008-0000-0900-000074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116</xdr:row>
      <xdr:rowOff>0</xdr:rowOff>
    </xdr:from>
    <xdr:ext cx="381000" cy="381000"/>
    <xdr:pic>
      <xdr:nvPicPr>
        <xdr:cNvPr id="117" name="image205.jpg">
          <a:extLst>
            <a:ext uri="{FF2B5EF4-FFF2-40B4-BE49-F238E27FC236}">
              <a16:creationId xmlns:a16="http://schemas.microsoft.com/office/drawing/2014/main" id="{00000000-0008-0000-0900-000075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117</xdr:row>
      <xdr:rowOff>0</xdr:rowOff>
    </xdr:from>
    <xdr:ext cx="381000" cy="381000"/>
    <xdr:pic>
      <xdr:nvPicPr>
        <xdr:cNvPr id="118" name="image205.jpg">
          <a:extLst>
            <a:ext uri="{FF2B5EF4-FFF2-40B4-BE49-F238E27FC236}">
              <a16:creationId xmlns:a16="http://schemas.microsoft.com/office/drawing/2014/main" id="{00000000-0008-0000-0900-000076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118</xdr:row>
      <xdr:rowOff>0</xdr:rowOff>
    </xdr:from>
    <xdr:ext cx="381000" cy="381000"/>
    <xdr:pic>
      <xdr:nvPicPr>
        <xdr:cNvPr id="119" name="image205.jpg">
          <a:extLst>
            <a:ext uri="{FF2B5EF4-FFF2-40B4-BE49-F238E27FC236}">
              <a16:creationId xmlns:a16="http://schemas.microsoft.com/office/drawing/2014/main" id="{00000000-0008-0000-0900-000077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xdr:col>
      <xdr:colOff>0</xdr:colOff>
      <xdr:row>119</xdr:row>
      <xdr:rowOff>0</xdr:rowOff>
    </xdr:from>
    <xdr:ext cx="381000" cy="381000"/>
    <xdr:pic>
      <xdr:nvPicPr>
        <xdr:cNvPr id="120" name="image153.png">
          <a:extLst>
            <a:ext uri="{FF2B5EF4-FFF2-40B4-BE49-F238E27FC236}">
              <a16:creationId xmlns:a16="http://schemas.microsoft.com/office/drawing/2014/main" id="{00000000-0008-0000-0900-000078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120</xdr:row>
      <xdr:rowOff>0</xdr:rowOff>
    </xdr:from>
    <xdr:ext cx="381000" cy="381000"/>
    <xdr:pic>
      <xdr:nvPicPr>
        <xdr:cNvPr id="121" name="image53.jpg">
          <a:extLst>
            <a:ext uri="{FF2B5EF4-FFF2-40B4-BE49-F238E27FC236}">
              <a16:creationId xmlns:a16="http://schemas.microsoft.com/office/drawing/2014/main" id="{00000000-0008-0000-0900-000079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121</xdr:row>
      <xdr:rowOff>0</xdr:rowOff>
    </xdr:from>
    <xdr:ext cx="381000" cy="381000"/>
    <xdr:pic>
      <xdr:nvPicPr>
        <xdr:cNvPr id="122" name="image53.jpg">
          <a:extLst>
            <a:ext uri="{FF2B5EF4-FFF2-40B4-BE49-F238E27FC236}">
              <a16:creationId xmlns:a16="http://schemas.microsoft.com/office/drawing/2014/main" id="{00000000-0008-0000-0900-00007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122</xdr:row>
      <xdr:rowOff>0</xdr:rowOff>
    </xdr:from>
    <xdr:ext cx="381000" cy="381000"/>
    <xdr:pic>
      <xdr:nvPicPr>
        <xdr:cNvPr id="123" name="image256.jpg">
          <a:extLst>
            <a:ext uri="{FF2B5EF4-FFF2-40B4-BE49-F238E27FC236}">
              <a16:creationId xmlns:a16="http://schemas.microsoft.com/office/drawing/2014/main" id="{00000000-0008-0000-0900-00007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123</xdr:row>
      <xdr:rowOff>0</xdr:rowOff>
    </xdr:from>
    <xdr:ext cx="381000" cy="381000"/>
    <xdr:pic>
      <xdr:nvPicPr>
        <xdr:cNvPr id="124" name="image256.jpg">
          <a:extLst>
            <a:ext uri="{FF2B5EF4-FFF2-40B4-BE49-F238E27FC236}">
              <a16:creationId xmlns:a16="http://schemas.microsoft.com/office/drawing/2014/main" id="{00000000-0008-0000-0900-00007C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124</xdr:row>
      <xdr:rowOff>0</xdr:rowOff>
    </xdr:from>
    <xdr:ext cx="381000" cy="381000"/>
    <xdr:pic>
      <xdr:nvPicPr>
        <xdr:cNvPr id="125" name="image256.jpg">
          <a:extLst>
            <a:ext uri="{FF2B5EF4-FFF2-40B4-BE49-F238E27FC236}">
              <a16:creationId xmlns:a16="http://schemas.microsoft.com/office/drawing/2014/main" id="{00000000-0008-0000-0900-00007D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125</xdr:row>
      <xdr:rowOff>0</xdr:rowOff>
    </xdr:from>
    <xdr:ext cx="381000" cy="381000"/>
    <xdr:pic>
      <xdr:nvPicPr>
        <xdr:cNvPr id="126" name="image256.jpg">
          <a:extLst>
            <a:ext uri="{FF2B5EF4-FFF2-40B4-BE49-F238E27FC236}">
              <a16:creationId xmlns:a16="http://schemas.microsoft.com/office/drawing/2014/main" id="{00000000-0008-0000-0900-00007E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126</xdr:row>
      <xdr:rowOff>0</xdr:rowOff>
    </xdr:from>
    <xdr:ext cx="381000" cy="381000"/>
    <xdr:pic>
      <xdr:nvPicPr>
        <xdr:cNvPr id="127" name="image256.jpg">
          <a:extLst>
            <a:ext uri="{FF2B5EF4-FFF2-40B4-BE49-F238E27FC236}">
              <a16:creationId xmlns:a16="http://schemas.microsoft.com/office/drawing/2014/main" id="{00000000-0008-0000-0900-00007F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127</xdr:row>
      <xdr:rowOff>0</xdr:rowOff>
    </xdr:from>
    <xdr:ext cx="381000" cy="381000"/>
    <xdr:pic>
      <xdr:nvPicPr>
        <xdr:cNvPr id="128" name="image256.jpg">
          <a:extLst>
            <a:ext uri="{FF2B5EF4-FFF2-40B4-BE49-F238E27FC236}">
              <a16:creationId xmlns:a16="http://schemas.microsoft.com/office/drawing/2014/main" id="{00000000-0008-0000-0900-000080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128</xdr:row>
      <xdr:rowOff>0</xdr:rowOff>
    </xdr:from>
    <xdr:ext cx="381000" cy="381000"/>
    <xdr:pic>
      <xdr:nvPicPr>
        <xdr:cNvPr id="129" name="image113.jpg">
          <a:extLst>
            <a:ext uri="{FF2B5EF4-FFF2-40B4-BE49-F238E27FC236}">
              <a16:creationId xmlns:a16="http://schemas.microsoft.com/office/drawing/2014/main" id="{00000000-0008-0000-0900-000081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129</xdr:row>
      <xdr:rowOff>0</xdr:rowOff>
    </xdr:from>
    <xdr:ext cx="381000" cy="381000"/>
    <xdr:pic>
      <xdr:nvPicPr>
        <xdr:cNvPr id="130" name="image113.jpg">
          <a:extLst>
            <a:ext uri="{FF2B5EF4-FFF2-40B4-BE49-F238E27FC236}">
              <a16:creationId xmlns:a16="http://schemas.microsoft.com/office/drawing/2014/main" id="{00000000-0008-0000-0900-000082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130</xdr:row>
      <xdr:rowOff>0</xdr:rowOff>
    </xdr:from>
    <xdr:ext cx="381000" cy="381000"/>
    <xdr:pic>
      <xdr:nvPicPr>
        <xdr:cNvPr id="131" name="image113.jpg">
          <a:extLst>
            <a:ext uri="{FF2B5EF4-FFF2-40B4-BE49-F238E27FC236}">
              <a16:creationId xmlns:a16="http://schemas.microsoft.com/office/drawing/2014/main" id="{00000000-0008-0000-0900-000083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131</xdr:row>
      <xdr:rowOff>0</xdr:rowOff>
    </xdr:from>
    <xdr:ext cx="381000" cy="381000"/>
    <xdr:pic>
      <xdr:nvPicPr>
        <xdr:cNvPr id="132" name="image53.jpg">
          <a:extLst>
            <a:ext uri="{FF2B5EF4-FFF2-40B4-BE49-F238E27FC236}">
              <a16:creationId xmlns:a16="http://schemas.microsoft.com/office/drawing/2014/main" id="{00000000-0008-0000-0900-000084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132</xdr:row>
      <xdr:rowOff>0</xdr:rowOff>
    </xdr:from>
    <xdr:ext cx="381000" cy="381000"/>
    <xdr:pic>
      <xdr:nvPicPr>
        <xdr:cNvPr id="133" name="image53.jpg">
          <a:extLst>
            <a:ext uri="{FF2B5EF4-FFF2-40B4-BE49-F238E27FC236}">
              <a16:creationId xmlns:a16="http://schemas.microsoft.com/office/drawing/2014/main" id="{00000000-0008-0000-0900-000085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133</xdr:row>
      <xdr:rowOff>0</xdr:rowOff>
    </xdr:from>
    <xdr:ext cx="381000" cy="381000"/>
    <xdr:pic>
      <xdr:nvPicPr>
        <xdr:cNvPr id="134" name="image256.jpg">
          <a:extLst>
            <a:ext uri="{FF2B5EF4-FFF2-40B4-BE49-F238E27FC236}">
              <a16:creationId xmlns:a16="http://schemas.microsoft.com/office/drawing/2014/main" id="{00000000-0008-0000-0900-000086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134</xdr:row>
      <xdr:rowOff>0</xdr:rowOff>
    </xdr:from>
    <xdr:ext cx="381000" cy="381000"/>
    <xdr:pic>
      <xdr:nvPicPr>
        <xdr:cNvPr id="135" name="image256.jpg">
          <a:extLst>
            <a:ext uri="{FF2B5EF4-FFF2-40B4-BE49-F238E27FC236}">
              <a16:creationId xmlns:a16="http://schemas.microsoft.com/office/drawing/2014/main" id="{00000000-0008-0000-0900-000087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135</xdr:row>
      <xdr:rowOff>0</xdr:rowOff>
    </xdr:from>
    <xdr:ext cx="381000" cy="381000"/>
    <xdr:pic>
      <xdr:nvPicPr>
        <xdr:cNvPr id="136" name="image256.jpg">
          <a:extLst>
            <a:ext uri="{FF2B5EF4-FFF2-40B4-BE49-F238E27FC236}">
              <a16:creationId xmlns:a16="http://schemas.microsoft.com/office/drawing/2014/main" id="{00000000-0008-0000-0900-000088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136</xdr:row>
      <xdr:rowOff>0</xdr:rowOff>
    </xdr:from>
    <xdr:ext cx="381000" cy="381000"/>
    <xdr:pic>
      <xdr:nvPicPr>
        <xdr:cNvPr id="137" name="image256.jpg">
          <a:extLst>
            <a:ext uri="{FF2B5EF4-FFF2-40B4-BE49-F238E27FC236}">
              <a16:creationId xmlns:a16="http://schemas.microsoft.com/office/drawing/2014/main" id="{00000000-0008-0000-0900-000089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137</xdr:row>
      <xdr:rowOff>0</xdr:rowOff>
    </xdr:from>
    <xdr:ext cx="381000" cy="381000"/>
    <xdr:pic>
      <xdr:nvPicPr>
        <xdr:cNvPr id="138" name="image256.jpg">
          <a:extLst>
            <a:ext uri="{FF2B5EF4-FFF2-40B4-BE49-F238E27FC236}">
              <a16:creationId xmlns:a16="http://schemas.microsoft.com/office/drawing/2014/main" id="{00000000-0008-0000-0900-00008A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138</xdr:row>
      <xdr:rowOff>0</xdr:rowOff>
    </xdr:from>
    <xdr:ext cx="381000" cy="381000"/>
    <xdr:pic>
      <xdr:nvPicPr>
        <xdr:cNvPr id="139" name="image256.jpg">
          <a:extLst>
            <a:ext uri="{FF2B5EF4-FFF2-40B4-BE49-F238E27FC236}">
              <a16:creationId xmlns:a16="http://schemas.microsoft.com/office/drawing/2014/main" id="{00000000-0008-0000-0900-00008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139</xdr:row>
      <xdr:rowOff>0</xdr:rowOff>
    </xdr:from>
    <xdr:ext cx="381000" cy="381000"/>
    <xdr:pic>
      <xdr:nvPicPr>
        <xdr:cNvPr id="140" name="image113.jpg">
          <a:extLst>
            <a:ext uri="{FF2B5EF4-FFF2-40B4-BE49-F238E27FC236}">
              <a16:creationId xmlns:a16="http://schemas.microsoft.com/office/drawing/2014/main" id="{00000000-0008-0000-0900-00008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140</xdr:row>
      <xdr:rowOff>0</xdr:rowOff>
    </xdr:from>
    <xdr:ext cx="381000" cy="381000"/>
    <xdr:pic>
      <xdr:nvPicPr>
        <xdr:cNvPr id="141" name="image113.jpg">
          <a:extLst>
            <a:ext uri="{FF2B5EF4-FFF2-40B4-BE49-F238E27FC236}">
              <a16:creationId xmlns:a16="http://schemas.microsoft.com/office/drawing/2014/main" id="{00000000-0008-0000-0900-00008D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141</xdr:row>
      <xdr:rowOff>0</xdr:rowOff>
    </xdr:from>
    <xdr:ext cx="381000" cy="381000"/>
    <xdr:pic>
      <xdr:nvPicPr>
        <xdr:cNvPr id="142" name="image113.jpg">
          <a:extLst>
            <a:ext uri="{FF2B5EF4-FFF2-40B4-BE49-F238E27FC236}">
              <a16:creationId xmlns:a16="http://schemas.microsoft.com/office/drawing/2014/main" id="{00000000-0008-0000-0900-00008E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xdr:col>
      <xdr:colOff>0</xdr:colOff>
      <xdr:row>142</xdr:row>
      <xdr:rowOff>0</xdr:rowOff>
    </xdr:from>
    <xdr:ext cx="381000" cy="381000"/>
    <xdr:pic>
      <xdr:nvPicPr>
        <xdr:cNvPr id="143" name="image53.jpg">
          <a:extLst>
            <a:ext uri="{FF2B5EF4-FFF2-40B4-BE49-F238E27FC236}">
              <a16:creationId xmlns:a16="http://schemas.microsoft.com/office/drawing/2014/main" id="{00000000-0008-0000-0900-00008F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143</xdr:row>
      <xdr:rowOff>0</xdr:rowOff>
    </xdr:from>
    <xdr:ext cx="381000" cy="381000"/>
    <xdr:pic>
      <xdr:nvPicPr>
        <xdr:cNvPr id="144" name="image53.jpg">
          <a:extLst>
            <a:ext uri="{FF2B5EF4-FFF2-40B4-BE49-F238E27FC236}">
              <a16:creationId xmlns:a16="http://schemas.microsoft.com/office/drawing/2014/main" id="{00000000-0008-0000-0900-000090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144</xdr:row>
      <xdr:rowOff>0</xdr:rowOff>
    </xdr:from>
    <xdr:ext cx="381000" cy="381000"/>
    <xdr:pic>
      <xdr:nvPicPr>
        <xdr:cNvPr id="145" name="image256.jpg">
          <a:extLst>
            <a:ext uri="{FF2B5EF4-FFF2-40B4-BE49-F238E27FC236}">
              <a16:creationId xmlns:a16="http://schemas.microsoft.com/office/drawing/2014/main" id="{00000000-0008-0000-0900-000091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145</xdr:row>
      <xdr:rowOff>0</xdr:rowOff>
    </xdr:from>
    <xdr:ext cx="381000" cy="381000"/>
    <xdr:pic>
      <xdr:nvPicPr>
        <xdr:cNvPr id="146" name="image256.jpg">
          <a:extLst>
            <a:ext uri="{FF2B5EF4-FFF2-40B4-BE49-F238E27FC236}">
              <a16:creationId xmlns:a16="http://schemas.microsoft.com/office/drawing/2014/main" id="{00000000-0008-0000-0900-000092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146</xdr:row>
      <xdr:rowOff>0</xdr:rowOff>
    </xdr:from>
    <xdr:ext cx="381000" cy="381000"/>
    <xdr:pic>
      <xdr:nvPicPr>
        <xdr:cNvPr id="147" name="image256.jpg">
          <a:extLst>
            <a:ext uri="{FF2B5EF4-FFF2-40B4-BE49-F238E27FC236}">
              <a16:creationId xmlns:a16="http://schemas.microsoft.com/office/drawing/2014/main" id="{00000000-0008-0000-0900-000093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147</xdr:row>
      <xdr:rowOff>0</xdr:rowOff>
    </xdr:from>
    <xdr:ext cx="381000" cy="381000"/>
    <xdr:pic>
      <xdr:nvPicPr>
        <xdr:cNvPr id="148" name="image256.jpg">
          <a:extLst>
            <a:ext uri="{FF2B5EF4-FFF2-40B4-BE49-F238E27FC236}">
              <a16:creationId xmlns:a16="http://schemas.microsoft.com/office/drawing/2014/main" id="{00000000-0008-0000-0900-000094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148</xdr:row>
      <xdr:rowOff>0</xdr:rowOff>
    </xdr:from>
    <xdr:ext cx="381000" cy="381000"/>
    <xdr:pic>
      <xdr:nvPicPr>
        <xdr:cNvPr id="149" name="image256.jpg">
          <a:extLst>
            <a:ext uri="{FF2B5EF4-FFF2-40B4-BE49-F238E27FC236}">
              <a16:creationId xmlns:a16="http://schemas.microsoft.com/office/drawing/2014/main" id="{00000000-0008-0000-0900-000095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149</xdr:row>
      <xdr:rowOff>0</xdr:rowOff>
    </xdr:from>
    <xdr:ext cx="381000" cy="381000"/>
    <xdr:pic>
      <xdr:nvPicPr>
        <xdr:cNvPr id="150" name="image256.jpg">
          <a:extLst>
            <a:ext uri="{FF2B5EF4-FFF2-40B4-BE49-F238E27FC236}">
              <a16:creationId xmlns:a16="http://schemas.microsoft.com/office/drawing/2014/main" id="{00000000-0008-0000-0900-000096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150</xdr:row>
      <xdr:rowOff>0</xdr:rowOff>
    </xdr:from>
    <xdr:ext cx="381000" cy="381000"/>
    <xdr:pic>
      <xdr:nvPicPr>
        <xdr:cNvPr id="151" name="image97.jpg">
          <a:extLst>
            <a:ext uri="{FF2B5EF4-FFF2-40B4-BE49-F238E27FC236}">
              <a16:creationId xmlns:a16="http://schemas.microsoft.com/office/drawing/2014/main" id="{00000000-0008-0000-0900-000097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151</xdr:row>
      <xdr:rowOff>0</xdr:rowOff>
    </xdr:from>
    <xdr:ext cx="381000" cy="381000"/>
    <xdr:pic>
      <xdr:nvPicPr>
        <xdr:cNvPr id="152" name="image254.jpg">
          <a:extLst>
            <a:ext uri="{FF2B5EF4-FFF2-40B4-BE49-F238E27FC236}">
              <a16:creationId xmlns:a16="http://schemas.microsoft.com/office/drawing/2014/main" id="{00000000-0008-0000-0900-000098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152</xdr:row>
      <xdr:rowOff>0</xdr:rowOff>
    </xdr:from>
    <xdr:ext cx="381000" cy="381000"/>
    <xdr:pic>
      <xdr:nvPicPr>
        <xdr:cNvPr id="153" name="image20.png">
          <a:extLst>
            <a:ext uri="{FF2B5EF4-FFF2-40B4-BE49-F238E27FC236}">
              <a16:creationId xmlns:a16="http://schemas.microsoft.com/office/drawing/2014/main" id="{00000000-0008-0000-0900-00009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153</xdr:row>
      <xdr:rowOff>0</xdr:rowOff>
    </xdr:from>
    <xdr:ext cx="381000" cy="381000"/>
    <xdr:pic>
      <xdr:nvPicPr>
        <xdr:cNvPr id="154" name="image20.png">
          <a:extLst>
            <a:ext uri="{FF2B5EF4-FFF2-40B4-BE49-F238E27FC236}">
              <a16:creationId xmlns:a16="http://schemas.microsoft.com/office/drawing/2014/main" id="{00000000-0008-0000-0900-00009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154</xdr:row>
      <xdr:rowOff>0</xdr:rowOff>
    </xdr:from>
    <xdr:ext cx="381000" cy="381000"/>
    <xdr:pic>
      <xdr:nvPicPr>
        <xdr:cNvPr id="155" name="image20.png">
          <a:extLst>
            <a:ext uri="{FF2B5EF4-FFF2-40B4-BE49-F238E27FC236}">
              <a16:creationId xmlns:a16="http://schemas.microsoft.com/office/drawing/2014/main" id="{00000000-0008-0000-0900-00009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155</xdr:row>
      <xdr:rowOff>0</xdr:rowOff>
    </xdr:from>
    <xdr:ext cx="381000" cy="381000"/>
    <xdr:pic>
      <xdr:nvPicPr>
        <xdr:cNvPr id="156" name="image20.png">
          <a:extLst>
            <a:ext uri="{FF2B5EF4-FFF2-40B4-BE49-F238E27FC236}">
              <a16:creationId xmlns:a16="http://schemas.microsoft.com/office/drawing/2014/main" id="{00000000-0008-0000-0900-00009C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156</xdr:row>
      <xdr:rowOff>0</xdr:rowOff>
    </xdr:from>
    <xdr:ext cx="381000" cy="381000"/>
    <xdr:pic>
      <xdr:nvPicPr>
        <xdr:cNvPr id="157" name="image97.jpg">
          <a:extLst>
            <a:ext uri="{FF2B5EF4-FFF2-40B4-BE49-F238E27FC236}">
              <a16:creationId xmlns:a16="http://schemas.microsoft.com/office/drawing/2014/main" id="{00000000-0008-0000-0900-00009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157</xdr:row>
      <xdr:rowOff>0</xdr:rowOff>
    </xdr:from>
    <xdr:ext cx="381000" cy="381000"/>
    <xdr:pic>
      <xdr:nvPicPr>
        <xdr:cNvPr id="158" name="image254.jpg">
          <a:extLst>
            <a:ext uri="{FF2B5EF4-FFF2-40B4-BE49-F238E27FC236}">
              <a16:creationId xmlns:a16="http://schemas.microsoft.com/office/drawing/2014/main" id="{00000000-0008-0000-0900-00009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158</xdr:row>
      <xdr:rowOff>0</xdr:rowOff>
    </xdr:from>
    <xdr:ext cx="381000" cy="381000"/>
    <xdr:pic>
      <xdr:nvPicPr>
        <xdr:cNvPr id="159" name="image97.jpg">
          <a:extLst>
            <a:ext uri="{FF2B5EF4-FFF2-40B4-BE49-F238E27FC236}">
              <a16:creationId xmlns:a16="http://schemas.microsoft.com/office/drawing/2014/main" id="{00000000-0008-0000-0900-00009F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159</xdr:row>
      <xdr:rowOff>0</xdr:rowOff>
    </xdr:from>
    <xdr:ext cx="381000" cy="381000"/>
    <xdr:pic>
      <xdr:nvPicPr>
        <xdr:cNvPr id="160" name="image254.jpg">
          <a:extLst>
            <a:ext uri="{FF2B5EF4-FFF2-40B4-BE49-F238E27FC236}">
              <a16:creationId xmlns:a16="http://schemas.microsoft.com/office/drawing/2014/main" id="{00000000-0008-0000-0900-0000A0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160</xdr:row>
      <xdr:rowOff>0</xdr:rowOff>
    </xdr:from>
    <xdr:ext cx="381000" cy="381000"/>
    <xdr:pic>
      <xdr:nvPicPr>
        <xdr:cNvPr id="161" name="image20.png">
          <a:extLst>
            <a:ext uri="{FF2B5EF4-FFF2-40B4-BE49-F238E27FC236}">
              <a16:creationId xmlns:a16="http://schemas.microsoft.com/office/drawing/2014/main" id="{00000000-0008-0000-0900-0000A1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161</xdr:row>
      <xdr:rowOff>0</xdr:rowOff>
    </xdr:from>
    <xdr:ext cx="381000" cy="381000"/>
    <xdr:pic>
      <xdr:nvPicPr>
        <xdr:cNvPr id="162" name="image20.png">
          <a:extLst>
            <a:ext uri="{FF2B5EF4-FFF2-40B4-BE49-F238E27FC236}">
              <a16:creationId xmlns:a16="http://schemas.microsoft.com/office/drawing/2014/main" id="{00000000-0008-0000-0900-0000A2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162</xdr:row>
      <xdr:rowOff>0</xdr:rowOff>
    </xdr:from>
    <xdr:ext cx="381000" cy="381000"/>
    <xdr:pic>
      <xdr:nvPicPr>
        <xdr:cNvPr id="163" name="image20.png">
          <a:extLst>
            <a:ext uri="{FF2B5EF4-FFF2-40B4-BE49-F238E27FC236}">
              <a16:creationId xmlns:a16="http://schemas.microsoft.com/office/drawing/2014/main" id="{00000000-0008-0000-0900-0000A3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163</xdr:row>
      <xdr:rowOff>0</xdr:rowOff>
    </xdr:from>
    <xdr:ext cx="381000" cy="381000"/>
    <xdr:pic>
      <xdr:nvPicPr>
        <xdr:cNvPr id="164" name="image97.jpg">
          <a:extLst>
            <a:ext uri="{FF2B5EF4-FFF2-40B4-BE49-F238E27FC236}">
              <a16:creationId xmlns:a16="http://schemas.microsoft.com/office/drawing/2014/main" id="{00000000-0008-0000-0900-0000A4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164</xdr:row>
      <xdr:rowOff>0</xdr:rowOff>
    </xdr:from>
    <xdr:ext cx="381000" cy="381000"/>
    <xdr:pic>
      <xdr:nvPicPr>
        <xdr:cNvPr id="165" name="image254.jpg">
          <a:extLst>
            <a:ext uri="{FF2B5EF4-FFF2-40B4-BE49-F238E27FC236}">
              <a16:creationId xmlns:a16="http://schemas.microsoft.com/office/drawing/2014/main" id="{00000000-0008-0000-0900-0000A5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165</xdr:row>
      <xdr:rowOff>0</xdr:rowOff>
    </xdr:from>
    <xdr:ext cx="381000" cy="381000"/>
    <xdr:pic>
      <xdr:nvPicPr>
        <xdr:cNvPr id="166" name="image97.jpg">
          <a:extLst>
            <a:ext uri="{FF2B5EF4-FFF2-40B4-BE49-F238E27FC236}">
              <a16:creationId xmlns:a16="http://schemas.microsoft.com/office/drawing/2014/main" id="{00000000-0008-0000-0900-0000A6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0</xdr:colOff>
      <xdr:row>166</xdr:row>
      <xdr:rowOff>0</xdr:rowOff>
    </xdr:from>
    <xdr:ext cx="381000" cy="381000"/>
    <xdr:pic>
      <xdr:nvPicPr>
        <xdr:cNvPr id="167" name="image254.jpg">
          <a:extLst>
            <a:ext uri="{FF2B5EF4-FFF2-40B4-BE49-F238E27FC236}">
              <a16:creationId xmlns:a16="http://schemas.microsoft.com/office/drawing/2014/main" id="{00000000-0008-0000-0900-0000A7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0</xdr:colOff>
      <xdr:row>167</xdr:row>
      <xdr:rowOff>0</xdr:rowOff>
    </xdr:from>
    <xdr:ext cx="381000" cy="381000"/>
    <xdr:pic>
      <xdr:nvPicPr>
        <xdr:cNvPr id="168" name="image20.png">
          <a:extLst>
            <a:ext uri="{FF2B5EF4-FFF2-40B4-BE49-F238E27FC236}">
              <a16:creationId xmlns:a16="http://schemas.microsoft.com/office/drawing/2014/main" id="{00000000-0008-0000-0900-0000A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168</xdr:row>
      <xdr:rowOff>0</xdr:rowOff>
    </xdr:from>
    <xdr:ext cx="381000" cy="381000"/>
    <xdr:pic>
      <xdr:nvPicPr>
        <xdr:cNvPr id="169" name="image20.png">
          <a:extLst>
            <a:ext uri="{FF2B5EF4-FFF2-40B4-BE49-F238E27FC236}">
              <a16:creationId xmlns:a16="http://schemas.microsoft.com/office/drawing/2014/main" id="{00000000-0008-0000-0900-0000A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169</xdr:row>
      <xdr:rowOff>0</xdr:rowOff>
    </xdr:from>
    <xdr:ext cx="381000" cy="381000"/>
    <xdr:pic>
      <xdr:nvPicPr>
        <xdr:cNvPr id="170" name="image153.png">
          <a:extLst>
            <a:ext uri="{FF2B5EF4-FFF2-40B4-BE49-F238E27FC236}">
              <a16:creationId xmlns:a16="http://schemas.microsoft.com/office/drawing/2014/main" id="{00000000-0008-0000-0900-0000A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170</xdr:row>
      <xdr:rowOff>0</xdr:rowOff>
    </xdr:from>
    <xdr:ext cx="381000" cy="381000"/>
    <xdr:pic>
      <xdr:nvPicPr>
        <xdr:cNvPr id="171" name="image78.jpg">
          <a:extLst>
            <a:ext uri="{FF2B5EF4-FFF2-40B4-BE49-F238E27FC236}">
              <a16:creationId xmlns:a16="http://schemas.microsoft.com/office/drawing/2014/main" id="{00000000-0008-0000-0900-0000AB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171</xdr:row>
      <xdr:rowOff>0</xdr:rowOff>
    </xdr:from>
    <xdr:ext cx="381000" cy="381000"/>
    <xdr:pic>
      <xdr:nvPicPr>
        <xdr:cNvPr id="172" name="image78.jpg">
          <a:extLst>
            <a:ext uri="{FF2B5EF4-FFF2-40B4-BE49-F238E27FC236}">
              <a16:creationId xmlns:a16="http://schemas.microsoft.com/office/drawing/2014/main" id="{00000000-0008-0000-0900-0000AC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172</xdr:row>
      <xdr:rowOff>0</xdr:rowOff>
    </xdr:from>
    <xdr:ext cx="381000" cy="381000"/>
    <xdr:pic>
      <xdr:nvPicPr>
        <xdr:cNvPr id="173" name="image78.jpg">
          <a:extLst>
            <a:ext uri="{FF2B5EF4-FFF2-40B4-BE49-F238E27FC236}">
              <a16:creationId xmlns:a16="http://schemas.microsoft.com/office/drawing/2014/main" id="{00000000-0008-0000-0900-0000AD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173</xdr:row>
      <xdr:rowOff>0</xdr:rowOff>
    </xdr:from>
    <xdr:ext cx="381000" cy="381000"/>
    <xdr:pic>
      <xdr:nvPicPr>
        <xdr:cNvPr id="174" name="image78.jpg">
          <a:extLst>
            <a:ext uri="{FF2B5EF4-FFF2-40B4-BE49-F238E27FC236}">
              <a16:creationId xmlns:a16="http://schemas.microsoft.com/office/drawing/2014/main" id="{00000000-0008-0000-0900-0000AE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174</xdr:row>
      <xdr:rowOff>0</xdr:rowOff>
    </xdr:from>
    <xdr:ext cx="381000" cy="381000"/>
    <xdr:pic>
      <xdr:nvPicPr>
        <xdr:cNvPr id="175" name="image78.jpg">
          <a:extLst>
            <a:ext uri="{FF2B5EF4-FFF2-40B4-BE49-F238E27FC236}">
              <a16:creationId xmlns:a16="http://schemas.microsoft.com/office/drawing/2014/main" id="{00000000-0008-0000-0900-0000A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175</xdr:row>
      <xdr:rowOff>0</xdr:rowOff>
    </xdr:from>
    <xdr:ext cx="381000" cy="381000"/>
    <xdr:pic>
      <xdr:nvPicPr>
        <xdr:cNvPr id="176" name="image78.jpg">
          <a:extLst>
            <a:ext uri="{FF2B5EF4-FFF2-40B4-BE49-F238E27FC236}">
              <a16:creationId xmlns:a16="http://schemas.microsoft.com/office/drawing/2014/main" id="{00000000-0008-0000-0900-0000B0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176</xdr:row>
      <xdr:rowOff>0</xdr:rowOff>
    </xdr:from>
    <xdr:ext cx="381000" cy="381000"/>
    <xdr:pic>
      <xdr:nvPicPr>
        <xdr:cNvPr id="177" name="image78.jpg">
          <a:extLst>
            <a:ext uri="{FF2B5EF4-FFF2-40B4-BE49-F238E27FC236}">
              <a16:creationId xmlns:a16="http://schemas.microsoft.com/office/drawing/2014/main" id="{00000000-0008-0000-0900-0000B1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177</xdr:row>
      <xdr:rowOff>0</xdr:rowOff>
    </xdr:from>
    <xdr:ext cx="381000" cy="381000"/>
    <xdr:pic>
      <xdr:nvPicPr>
        <xdr:cNvPr id="178" name="image78.jpg">
          <a:extLst>
            <a:ext uri="{FF2B5EF4-FFF2-40B4-BE49-F238E27FC236}">
              <a16:creationId xmlns:a16="http://schemas.microsoft.com/office/drawing/2014/main" id="{00000000-0008-0000-0900-0000B2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178</xdr:row>
      <xdr:rowOff>0</xdr:rowOff>
    </xdr:from>
    <xdr:ext cx="381000" cy="381000"/>
    <xdr:pic>
      <xdr:nvPicPr>
        <xdr:cNvPr id="179" name="image78.jpg">
          <a:extLst>
            <a:ext uri="{FF2B5EF4-FFF2-40B4-BE49-F238E27FC236}">
              <a16:creationId xmlns:a16="http://schemas.microsoft.com/office/drawing/2014/main" id="{00000000-0008-0000-0900-0000B3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0</xdr:colOff>
      <xdr:row>179</xdr:row>
      <xdr:rowOff>0</xdr:rowOff>
    </xdr:from>
    <xdr:ext cx="381000" cy="381000"/>
    <xdr:pic>
      <xdr:nvPicPr>
        <xdr:cNvPr id="180" name="image11.jpg">
          <a:extLst>
            <a:ext uri="{FF2B5EF4-FFF2-40B4-BE49-F238E27FC236}">
              <a16:creationId xmlns:a16="http://schemas.microsoft.com/office/drawing/2014/main" id="{00000000-0008-0000-0900-0000B4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180</xdr:row>
      <xdr:rowOff>0</xdr:rowOff>
    </xdr:from>
    <xdr:ext cx="381000" cy="381000"/>
    <xdr:pic>
      <xdr:nvPicPr>
        <xdr:cNvPr id="181" name="image153.png">
          <a:extLst>
            <a:ext uri="{FF2B5EF4-FFF2-40B4-BE49-F238E27FC236}">
              <a16:creationId xmlns:a16="http://schemas.microsoft.com/office/drawing/2014/main" id="{00000000-0008-0000-0900-0000B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181</xdr:row>
      <xdr:rowOff>0</xdr:rowOff>
    </xdr:from>
    <xdr:ext cx="381000" cy="381000"/>
    <xdr:pic>
      <xdr:nvPicPr>
        <xdr:cNvPr id="182" name="image54.jpg">
          <a:extLst>
            <a:ext uri="{FF2B5EF4-FFF2-40B4-BE49-F238E27FC236}">
              <a16:creationId xmlns:a16="http://schemas.microsoft.com/office/drawing/2014/main" id="{00000000-0008-0000-0900-0000B6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182</xdr:row>
      <xdr:rowOff>0</xdr:rowOff>
    </xdr:from>
    <xdr:ext cx="381000" cy="381000"/>
    <xdr:pic>
      <xdr:nvPicPr>
        <xdr:cNvPr id="183" name="image32.jpg">
          <a:extLst>
            <a:ext uri="{FF2B5EF4-FFF2-40B4-BE49-F238E27FC236}">
              <a16:creationId xmlns:a16="http://schemas.microsoft.com/office/drawing/2014/main" id="{00000000-0008-0000-0900-0000B7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183</xdr:row>
      <xdr:rowOff>0</xdr:rowOff>
    </xdr:from>
    <xdr:ext cx="381000" cy="381000"/>
    <xdr:pic>
      <xdr:nvPicPr>
        <xdr:cNvPr id="184" name="image11.jpg">
          <a:extLst>
            <a:ext uri="{FF2B5EF4-FFF2-40B4-BE49-F238E27FC236}">
              <a16:creationId xmlns:a16="http://schemas.microsoft.com/office/drawing/2014/main" id="{00000000-0008-0000-0900-0000B8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184</xdr:row>
      <xdr:rowOff>0</xdr:rowOff>
    </xdr:from>
    <xdr:ext cx="381000" cy="381000"/>
    <xdr:pic>
      <xdr:nvPicPr>
        <xdr:cNvPr id="185" name="image54.jpg">
          <a:extLst>
            <a:ext uri="{FF2B5EF4-FFF2-40B4-BE49-F238E27FC236}">
              <a16:creationId xmlns:a16="http://schemas.microsoft.com/office/drawing/2014/main" id="{00000000-0008-0000-0900-0000B9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185</xdr:row>
      <xdr:rowOff>0</xdr:rowOff>
    </xdr:from>
    <xdr:ext cx="381000" cy="381000"/>
    <xdr:pic>
      <xdr:nvPicPr>
        <xdr:cNvPr id="186" name="image32.jpg">
          <a:extLst>
            <a:ext uri="{FF2B5EF4-FFF2-40B4-BE49-F238E27FC236}">
              <a16:creationId xmlns:a16="http://schemas.microsoft.com/office/drawing/2014/main" id="{00000000-0008-0000-0900-0000BA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186</xdr:row>
      <xdr:rowOff>0</xdr:rowOff>
    </xdr:from>
    <xdr:ext cx="381000" cy="381000"/>
    <xdr:pic>
      <xdr:nvPicPr>
        <xdr:cNvPr id="187" name="image11.jpg">
          <a:extLst>
            <a:ext uri="{FF2B5EF4-FFF2-40B4-BE49-F238E27FC236}">
              <a16:creationId xmlns:a16="http://schemas.microsoft.com/office/drawing/2014/main" id="{00000000-0008-0000-0900-0000BB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187</xdr:row>
      <xdr:rowOff>0</xdr:rowOff>
    </xdr:from>
    <xdr:ext cx="381000" cy="381000"/>
    <xdr:pic>
      <xdr:nvPicPr>
        <xdr:cNvPr id="188" name="image54.jpg">
          <a:extLst>
            <a:ext uri="{FF2B5EF4-FFF2-40B4-BE49-F238E27FC236}">
              <a16:creationId xmlns:a16="http://schemas.microsoft.com/office/drawing/2014/main" id="{00000000-0008-0000-0900-0000BC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188</xdr:row>
      <xdr:rowOff>0</xdr:rowOff>
    </xdr:from>
    <xdr:ext cx="381000" cy="381000"/>
    <xdr:pic>
      <xdr:nvPicPr>
        <xdr:cNvPr id="189" name="image32.jpg">
          <a:extLst>
            <a:ext uri="{FF2B5EF4-FFF2-40B4-BE49-F238E27FC236}">
              <a16:creationId xmlns:a16="http://schemas.microsoft.com/office/drawing/2014/main" id="{00000000-0008-0000-0900-0000BD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189</xdr:row>
      <xdr:rowOff>0</xdr:rowOff>
    </xdr:from>
    <xdr:ext cx="381000" cy="381000"/>
    <xdr:pic>
      <xdr:nvPicPr>
        <xdr:cNvPr id="190" name="image11.jpg">
          <a:extLst>
            <a:ext uri="{FF2B5EF4-FFF2-40B4-BE49-F238E27FC236}">
              <a16:creationId xmlns:a16="http://schemas.microsoft.com/office/drawing/2014/main" id="{00000000-0008-0000-0900-0000BE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190</xdr:row>
      <xdr:rowOff>0</xdr:rowOff>
    </xdr:from>
    <xdr:ext cx="381000" cy="381000"/>
    <xdr:pic>
      <xdr:nvPicPr>
        <xdr:cNvPr id="191" name="image54.jpg">
          <a:extLst>
            <a:ext uri="{FF2B5EF4-FFF2-40B4-BE49-F238E27FC236}">
              <a16:creationId xmlns:a16="http://schemas.microsoft.com/office/drawing/2014/main" id="{00000000-0008-0000-0900-0000BF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191</xdr:row>
      <xdr:rowOff>0</xdr:rowOff>
    </xdr:from>
    <xdr:ext cx="381000" cy="381000"/>
    <xdr:pic>
      <xdr:nvPicPr>
        <xdr:cNvPr id="192" name="image32.jpg">
          <a:extLst>
            <a:ext uri="{FF2B5EF4-FFF2-40B4-BE49-F238E27FC236}">
              <a16:creationId xmlns:a16="http://schemas.microsoft.com/office/drawing/2014/main" id="{00000000-0008-0000-0900-0000C0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192</xdr:row>
      <xdr:rowOff>0</xdr:rowOff>
    </xdr:from>
    <xdr:ext cx="381000" cy="381000"/>
    <xdr:pic>
      <xdr:nvPicPr>
        <xdr:cNvPr id="193" name="image11.jpg">
          <a:extLst>
            <a:ext uri="{FF2B5EF4-FFF2-40B4-BE49-F238E27FC236}">
              <a16:creationId xmlns:a16="http://schemas.microsoft.com/office/drawing/2014/main" id="{00000000-0008-0000-0900-0000C1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193</xdr:row>
      <xdr:rowOff>0</xdr:rowOff>
    </xdr:from>
    <xdr:ext cx="381000" cy="381000"/>
    <xdr:pic>
      <xdr:nvPicPr>
        <xdr:cNvPr id="194" name="image54.jpg">
          <a:extLst>
            <a:ext uri="{FF2B5EF4-FFF2-40B4-BE49-F238E27FC236}">
              <a16:creationId xmlns:a16="http://schemas.microsoft.com/office/drawing/2014/main" id="{00000000-0008-0000-0900-0000C2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194</xdr:row>
      <xdr:rowOff>0</xdr:rowOff>
    </xdr:from>
    <xdr:ext cx="381000" cy="381000"/>
    <xdr:pic>
      <xdr:nvPicPr>
        <xdr:cNvPr id="195" name="image32.jpg">
          <a:extLst>
            <a:ext uri="{FF2B5EF4-FFF2-40B4-BE49-F238E27FC236}">
              <a16:creationId xmlns:a16="http://schemas.microsoft.com/office/drawing/2014/main" id="{00000000-0008-0000-0900-0000C3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195</xdr:row>
      <xdr:rowOff>0</xdr:rowOff>
    </xdr:from>
    <xdr:ext cx="381000" cy="381000"/>
    <xdr:pic>
      <xdr:nvPicPr>
        <xdr:cNvPr id="196" name="image11.jpg">
          <a:extLst>
            <a:ext uri="{FF2B5EF4-FFF2-40B4-BE49-F238E27FC236}">
              <a16:creationId xmlns:a16="http://schemas.microsoft.com/office/drawing/2014/main" id="{00000000-0008-0000-0900-0000C4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196</xdr:row>
      <xdr:rowOff>0</xdr:rowOff>
    </xdr:from>
    <xdr:ext cx="381000" cy="381000"/>
    <xdr:pic>
      <xdr:nvPicPr>
        <xdr:cNvPr id="197" name="image54.jpg">
          <a:extLst>
            <a:ext uri="{FF2B5EF4-FFF2-40B4-BE49-F238E27FC236}">
              <a16:creationId xmlns:a16="http://schemas.microsoft.com/office/drawing/2014/main" id="{00000000-0008-0000-0900-0000C5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197</xdr:row>
      <xdr:rowOff>0</xdr:rowOff>
    </xdr:from>
    <xdr:ext cx="381000" cy="381000"/>
    <xdr:pic>
      <xdr:nvPicPr>
        <xdr:cNvPr id="198" name="image32.jpg">
          <a:extLst>
            <a:ext uri="{FF2B5EF4-FFF2-40B4-BE49-F238E27FC236}">
              <a16:creationId xmlns:a16="http://schemas.microsoft.com/office/drawing/2014/main" id="{00000000-0008-0000-0900-0000C6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198</xdr:row>
      <xdr:rowOff>0</xdr:rowOff>
    </xdr:from>
    <xdr:ext cx="381000" cy="381000"/>
    <xdr:pic>
      <xdr:nvPicPr>
        <xdr:cNvPr id="199" name="image11.jpg">
          <a:extLst>
            <a:ext uri="{FF2B5EF4-FFF2-40B4-BE49-F238E27FC236}">
              <a16:creationId xmlns:a16="http://schemas.microsoft.com/office/drawing/2014/main" id="{00000000-0008-0000-0900-0000C7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199</xdr:row>
      <xdr:rowOff>0</xdr:rowOff>
    </xdr:from>
    <xdr:ext cx="381000" cy="381000"/>
    <xdr:pic>
      <xdr:nvPicPr>
        <xdr:cNvPr id="200" name="image54.jpg">
          <a:extLst>
            <a:ext uri="{FF2B5EF4-FFF2-40B4-BE49-F238E27FC236}">
              <a16:creationId xmlns:a16="http://schemas.microsoft.com/office/drawing/2014/main" id="{00000000-0008-0000-0900-0000C8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200</xdr:row>
      <xdr:rowOff>0</xdr:rowOff>
    </xdr:from>
    <xdr:ext cx="381000" cy="381000"/>
    <xdr:pic>
      <xdr:nvPicPr>
        <xdr:cNvPr id="201" name="image32.jpg">
          <a:extLst>
            <a:ext uri="{FF2B5EF4-FFF2-40B4-BE49-F238E27FC236}">
              <a16:creationId xmlns:a16="http://schemas.microsoft.com/office/drawing/2014/main" id="{00000000-0008-0000-0900-0000C9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201</xdr:row>
      <xdr:rowOff>0</xdr:rowOff>
    </xdr:from>
    <xdr:ext cx="381000" cy="381000"/>
    <xdr:pic>
      <xdr:nvPicPr>
        <xdr:cNvPr id="202" name="image11.jpg">
          <a:extLst>
            <a:ext uri="{FF2B5EF4-FFF2-40B4-BE49-F238E27FC236}">
              <a16:creationId xmlns:a16="http://schemas.microsoft.com/office/drawing/2014/main" id="{00000000-0008-0000-0900-0000CA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202</xdr:row>
      <xdr:rowOff>0</xdr:rowOff>
    </xdr:from>
    <xdr:ext cx="381000" cy="381000"/>
    <xdr:pic>
      <xdr:nvPicPr>
        <xdr:cNvPr id="203" name="image54.jpg">
          <a:extLst>
            <a:ext uri="{FF2B5EF4-FFF2-40B4-BE49-F238E27FC236}">
              <a16:creationId xmlns:a16="http://schemas.microsoft.com/office/drawing/2014/main" id="{00000000-0008-0000-0900-0000CB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203</xdr:row>
      <xdr:rowOff>0</xdr:rowOff>
    </xdr:from>
    <xdr:ext cx="381000" cy="381000"/>
    <xdr:pic>
      <xdr:nvPicPr>
        <xdr:cNvPr id="204" name="image32.jpg">
          <a:extLst>
            <a:ext uri="{FF2B5EF4-FFF2-40B4-BE49-F238E27FC236}">
              <a16:creationId xmlns:a16="http://schemas.microsoft.com/office/drawing/2014/main" id="{00000000-0008-0000-0900-0000CC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204</xdr:row>
      <xdr:rowOff>0</xdr:rowOff>
    </xdr:from>
    <xdr:ext cx="381000" cy="381000"/>
    <xdr:pic>
      <xdr:nvPicPr>
        <xdr:cNvPr id="205" name="image11.jpg">
          <a:extLst>
            <a:ext uri="{FF2B5EF4-FFF2-40B4-BE49-F238E27FC236}">
              <a16:creationId xmlns:a16="http://schemas.microsoft.com/office/drawing/2014/main" id="{00000000-0008-0000-0900-0000CD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205</xdr:row>
      <xdr:rowOff>0</xdr:rowOff>
    </xdr:from>
    <xdr:ext cx="381000" cy="381000"/>
    <xdr:pic>
      <xdr:nvPicPr>
        <xdr:cNvPr id="206" name="image54.jpg">
          <a:extLst>
            <a:ext uri="{FF2B5EF4-FFF2-40B4-BE49-F238E27FC236}">
              <a16:creationId xmlns:a16="http://schemas.microsoft.com/office/drawing/2014/main" id="{00000000-0008-0000-0900-0000CE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206</xdr:row>
      <xdr:rowOff>0</xdr:rowOff>
    </xdr:from>
    <xdr:ext cx="381000" cy="381000"/>
    <xdr:pic>
      <xdr:nvPicPr>
        <xdr:cNvPr id="207" name="image32.jpg">
          <a:extLst>
            <a:ext uri="{FF2B5EF4-FFF2-40B4-BE49-F238E27FC236}">
              <a16:creationId xmlns:a16="http://schemas.microsoft.com/office/drawing/2014/main" id="{00000000-0008-0000-0900-0000CF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207</xdr:row>
      <xdr:rowOff>0</xdr:rowOff>
    </xdr:from>
    <xdr:ext cx="381000" cy="381000"/>
    <xdr:pic>
      <xdr:nvPicPr>
        <xdr:cNvPr id="208" name="image11.jpg">
          <a:extLst>
            <a:ext uri="{FF2B5EF4-FFF2-40B4-BE49-F238E27FC236}">
              <a16:creationId xmlns:a16="http://schemas.microsoft.com/office/drawing/2014/main" id="{00000000-0008-0000-0900-0000D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208</xdr:row>
      <xdr:rowOff>0</xdr:rowOff>
    </xdr:from>
    <xdr:ext cx="381000" cy="381000"/>
    <xdr:pic>
      <xdr:nvPicPr>
        <xdr:cNvPr id="209" name="image54.jpg">
          <a:extLst>
            <a:ext uri="{FF2B5EF4-FFF2-40B4-BE49-F238E27FC236}">
              <a16:creationId xmlns:a16="http://schemas.microsoft.com/office/drawing/2014/main" id="{00000000-0008-0000-0900-0000D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209</xdr:row>
      <xdr:rowOff>0</xdr:rowOff>
    </xdr:from>
    <xdr:ext cx="381000" cy="381000"/>
    <xdr:pic>
      <xdr:nvPicPr>
        <xdr:cNvPr id="210" name="image32.jpg">
          <a:extLst>
            <a:ext uri="{FF2B5EF4-FFF2-40B4-BE49-F238E27FC236}">
              <a16:creationId xmlns:a16="http://schemas.microsoft.com/office/drawing/2014/main" id="{00000000-0008-0000-0900-0000D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210</xdr:row>
      <xdr:rowOff>0</xdr:rowOff>
    </xdr:from>
    <xdr:ext cx="381000" cy="381000"/>
    <xdr:pic>
      <xdr:nvPicPr>
        <xdr:cNvPr id="211" name="image11.jpg">
          <a:extLst>
            <a:ext uri="{FF2B5EF4-FFF2-40B4-BE49-F238E27FC236}">
              <a16:creationId xmlns:a16="http://schemas.microsoft.com/office/drawing/2014/main" id="{00000000-0008-0000-0900-0000D3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211</xdr:row>
      <xdr:rowOff>0</xdr:rowOff>
    </xdr:from>
    <xdr:ext cx="381000" cy="381000"/>
    <xdr:pic>
      <xdr:nvPicPr>
        <xdr:cNvPr id="212" name="image54.jpg">
          <a:extLst>
            <a:ext uri="{FF2B5EF4-FFF2-40B4-BE49-F238E27FC236}">
              <a16:creationId xmlns:a16="http://schemas.microsoft.com/office/drawing/2014/main" id="{00000000-0008-0000-0900-0000D4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212</xdr:row>
      <xdr:rowOff>0</xdr:rowOff>
    </xdr:from>
    <xdr:ext cx="381000" cy="381000"/>
    <xdr:pic>
      <xdr:nvPicPr>
        <xdr:cNvPr id="213" name="image32.jpg">
          <a:extLst>
            <a:ext uri="{FF2B5EF4-FFF2-40B4-BE49-F238E27FC236}">
              <a16:creationId xmlns:a16="http://schemas.microsoft.com/office/drawing/2014/main" id="{00000000-0008-0000-0900-0000D5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213</xdr:row>
      <xdr:rowOff>0</xdr:rowOff>
    </xdr:from>
    <xdr:ext cx="381000" cy="381000"/>
    <xdr:pic>
      <xdr:nvPicPr>
        <xdr:cNvPr id="214" name="image11.jpg">
          <a:extLst>
            <a:ext uri="{FF2B5EF4-FFF2-40B4-BE49-F238E27FC236}">
              <a16:creationId xmlns:a16="http://schemas.microsoft.com/office/drawing/2014/main" id="{00000000-0008-0000-0900-0000D6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214</xdr:row>
      <xdr:rowOff>0</xdr:rowOff>
    </xdr:from>
    <xdr:ext cx="381000" cy="381000"/>
    <xdr:pic>
      <xdr:nvPicPr>
        <xdr:cNvPr id="215" name="image54.jpg">
          <a:extLst>
            <a:ext uri="{FF2B5EF4-FFF2-40B4-BE49-F238E27FC236}">
              <a16:creationId xmlns:a16="http://schemas.microsoft.com/office/drawing/2014/main" id="{00000000-0008-0000-0900-0000D7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215</xdr:row>
      <xdr:rowOff>0</xdr:rowOff>
    </xdr:from>
    <xdr:ext cx="381000" cy="381000"/>
    <xdr:pic>
      <xdr:nvPicPr>
        <xdr:cNvPr id="216" name="image32.jpg">
          <a:extLst>
            <a:ext uri="{FF2B5EF4-FFF2-40B4-BE49-F238E27FC236}">
              <a16:creationId xmlns:a16="http://schemas.microsoft.com/office/drawing/2014/main" id="{00000000-0008-0000-0900-0000D8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216</xdr:row>
      <xdr:rowOff>0</xdr:rowOff>
    </xdr:from>
    <xdr:ext cx="381000" cy="381000"/>
    <xdr:pic>
      <xdr:nvPicPr>
        <xdr:cNvPr id="217" name="image11.jpg">
          <a:extLst>
            <a:ext uri="{FF2B5EF4-FFF2-40B4-BE49-F238E27FC236}">
              <a16:creationId xmlns:a16="http://schemas.microsoft.com/office/drawing/2014/main" id="{00000000-0008-0000-0900-0000D9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217</xdr:row>
      <xdr:rowOff>0</xdr:rowOff>
    </xdr:from>
    <xdr:ext cx="381000" cy="381000"/>
    <xdr:pic>
      <xdr:nvPicPr>
        <xdr:cNvPr id="218" name="image54.jpg">
          <a:extLst>
            <a:ext uri="{FF2B5EF4-FFF2-40B4-BE49-F238E27FC236}">
              <a16:creationId xmlns:a16="http://schemas.microsoft.com/office/drawing/2014/main" id="{00000000-0008-0000-0900-0000DA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218</xdr:row>
      <xdr:rowOff>0</xdr:rowOff>
    </xdr:from>
    <xdr:ext cx="381000" cy="381000"/>
    <xdr:pic>
      <xdr:nvPicPr>
        <xdr:cNvPr id="219" name="image32.jpg">
          <a:extLst>
            <a:ext uri="{FF2B5EF4-FFF2-40B4-BE49-F238E27FC236}">
              <a16:creationId xmlns:a16="http://schemas.microsoft.com/office/drawing/2014/main" id="{00000000-0008-0000-0900-0000DB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219</xdr:row>
      <xdr:rowOff>0</xdr:rowOff>
    </xdr:from>
    <xdr:ext cx="381000" cy="381000"/>
    <xdr:pic>
      <xdr:nvPicPr>
        <xdr:cNvPr id="220" name="image11.jpg">
          <a:extLst>
            <a:ext uri="{FF2B5EF4-FFF2-40B4-BE49-F238E27FC236}">
              <a16:creationId xmlns:a16="http://schemas.microsoft.com/office/drawing/2014/main" id="{00000000-0008-0000-0900-0000DC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220</xdr:row>
      <xdr:rowOff>0</xdr:rowOff>
    </xdr:from>
    <xdr:ext cx="381000" cy="381000"/>
    <xdr:pic>
      <xdr:nvPicPr>
        <xdr:cNvPr id="221" name="image54.jpg">
          <a:extLst>
            <a:ext uri="{FF2B5EF4-FFF2-40B4-BE49-F238E27FC236}">
              <a16:creationId xmlns:a16="http://schemas.microsoft.com/office/drawing/2014/main" id="{00000000-0008-0000-0900-0000DD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221</xdr:row>
      <xdr:rowOff>0</xdr:rowOff>
    </xdr:from>
    <xdr:ext cx="381000" cy="381000"/>
    <xdr:pic>
      <xdr:nvPicPr>
        <xdr:cNvPr id="222" name="image32.jpg">
          <a:extLst>
            <a:ext uri="{FF2B5EF4-FFF2-40B4-BE49-F238E27FC236}">
              <a16:creationId xmlns:a16="http://schemas.microsoft.com/office/drawing/2014/main" id="{00000000-0008-0000-0900-0000DE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222</xdr:row>
      <xdr:rowOff>0</xdr:rowOff>
    </xdr:from>
    <xdr:ext cx="381000" cy="381000"/>
    <xdr:pic>
      <xdr:nvPicPr>
        <xdr:cNvPr id="223" name="image11.jpg">
          <a:extLst>
            <a:ext uri="{FF2B5EF4-FFF2-40B4-BE49-F238E27FC236}">
              <a16:creationId xmlns:a16="http://schemas.microsoft.com/office/drawing/2014/main" id="{00000000-0008-0000-0900-0000DF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223</xdr:row>
      <xdr:rowOff>0</xdr:rowOff>
    </xdr:from>
    <xdr:ext cx="381000" cy="381000"/>
    <xdr:pic>
      <xdr:nvPicPr>
        <xdr:cNvPr id="224" name="image32.jpg">
          <a:extLst>
            <a:ext uri="{FF2B5EF4-FFF2-40B4-BE49-F238E27FC236}">
              <a16:creationId xmlns:a16="http://schemas.microsoft.com/office/drawing/2014/main" id="{00000000-0008-0000-0900-0000E0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224</xdr:row>
      <xdr:rowOff>0</xdr:rowOff>
    </xdr:from>
    <xdr:ext cx="381000" cy="381000"/>
    <xdr:pic>
      <xdr:nvPicPr>
        <xdr:cNvPr id="225" name="image54.jpg">
          <a:extLst>
            <a:ext uri="{FF2B5EF4-FFF2-40B4-BE49-F238E27FC236}">
              <a16:creationId xmlns:a16="http://schemas.microsoft.com/office/drawing/2014/main" id="{00000000-0008-0000-0900-0000E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225</xdr:row>
      <xdr:rowOff>0</xdr:rowOff>
    </xdr:from>
    <xdr:ext cx="381000" cy="381000"/>
    <xdr:pic>
      <xdr:nvPicPr>
        <xdr:cNvPr id="226" name="image11.jpg">
          <a:extLst>
            <a:ext uri="{FF2B5EF4-FFF2-40B4-BE49-F238E27FC236}">
              <a16:creationId xmlns:a16="http://schemas.microsoft.com/office/drawing/2014/main" id="{00000000-0008-0000-0900-0000E2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226</xdr:row>
      <xdr:rowOff>0</xdr:rowOff>
    </xdr:from>
    <xdr:ext cx="381000" cy="381000"/>
    <xdr:pic>
      <xdr:nvPicPr>
        <xdr:cNvPr id="227" name="image32.jpg">
          <a:extLst>
            <a:ext uri="{FF2B5EF4-FFF2-40B4-BE49-F238E27FC236}">
              <a16:creationId xmlns:a16="http://schemas.microsoft.com/office/drawing/2014/main" id="{00000000-0008-0000-0900-0000E3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227</xdr:row>
      <xdr:rowOff>0</xdr:rowOff>
    </xdr:from>
    <xdr:ext cx="381000" cy="381000"/>
    <xdr:pic>
      <xdr:nvPicPr>
        <xdr:cNvPr id="228" name="image54.jpg">
          <a:extLst>
            <a:ext uri="{FF2B5EF4-FFF2-40B4-BE49-F238E27FC236}">
              <a16:creationId xmlns:a16="http://schemas.microsoft.com/office/drawing/2014/main" id="{00000000-0008-0000-0900-0000E4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228</xdr:row>
      <xdr:rowOff>0</xdr:rowOff>
    </xdr:from>
    <xdr:ext cx="381000" cy="381000"/>
    <xdr:pic>
      <xdr:nvPicPr>
        <xdr:cNvPr id="229" name="image11.jpg">
          <a:extLst>
            <a:ext uri="{FF2B5EF4-FFF2-40B4-BE49-F238E27FC236}">
              <a16:creationId xmlns:a16="http://schemas.microsoft.com/office/drawing/2014/main" id="{00000000-0008-0000-0900-0000E5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229</xdr:row>
      <xdr:rowOff>0</xdr:rowOff>
    </xdr:from>
    <xdr:ext cx="381000" cy="381000"/>
    <xdr:pic>
      <xdr:nvPicPr>
        <xdr:cNvPr id="230" name="image32.jpg">
          <a:extLst>
            <a:ext uri="{FF2B5EF4-FFF2-40B4-BE49-F238E27FC236}">
              <a16:creationId xmlns:a16="http://schemas.microsoft.com/office/drawing/2014/main" id="{00000000-0008-0000-0900-0000E6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230</xdr:row>
      <xdr:rowOff>0</xdr:rowOff>
    </xdr:from>
    <xdr:ext cx="381000" cy="381000"/>
    <xdr:pic>
      <xdr:nvPicPr>
        <xdr:cNvPr id="231" name="image54.jpg">
          <a:extLst>
            <a:ext uri="{FF2B5EF4-FFF2-40B4-BE49-F238E27FC236}">
              <a16:creationId xmlns:a16="http://schemas.microsoft.com/office/drawing/2014/main" id="{00000000-0008-0000-0900-0000E7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231</xdr:row>
      <xdr:rowOff>0</xdr:rowOff>
    </xdr:from>
    <xdr:ext cx="381000" cy="381000"/>
    <xdr:pic>
      <xdr:nvPicPr>
        <xdr:cNvPr id="232" name="image11.jpg">
          <a:extLst>
            <a:ext uri="{FF2B5EF4-FFF2-40B4-BE49-F238E27FC236}">
              <a16:creationId xmlns:a16="http://schemas.microsoft.com/office/drawing/2014/main" id="{00000000-0008-0000-0900-0000E8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232</xdr:row>
      <xdr:rowOff>0</xdr:rowOff>
    </xdr:from>
    <xdr:ext cx="381000" cy="381000"/>
    <xdr:pic>
      <xdr:nvPicPr>
        <xdr:cNvPr id="233" name="image32.jpg">
          <a:extLst>
            <a:ext uri="{FF2B5EF4-FFF2-40B4-BE49-F238E27FC236}">
              <a16:creationId xmlns:a16="http://schemas.microsoft.com/office/drawing/2014/main" id="{00000000-0008-0000-0900-0000E9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233</xdr:row>
      <xdr:rowOff>0</xdr:rowOff>
    </xdr:from>
    <xdr:ext cx="381000" cy="381000"/>
    <xdr:pic>
      <xdr:nvPicPr>
        <xdr:cNvPr id="234" name="image54.jpg">
          <a:extLst>
            <a:ext uri="{FF2B5EF4-FFF2-40B4-BE49-F238E27FC236}">
              <a16:creationId xmlns:a16="http://schemas.microsoft.com/office/drawing/2014/main" id="{00000000-0008-0000-0900-0000EA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234</xdr:row>
      <xdr:rowOff>0</xdr:rowOff>
    </xdr:from>
    <xdr:ext cx="381000" cy="381000"/>
    <xdr:pic>
      <xdr:nvPicPr>
        <xdr:cNvPr id="235" name="image11.jpg">
          <a:extLst>
            <a:ext uri="{FF2B5EF4-FFF2-40B4-BE49-F238E27FC236}">
              <a16:creationId xmlns:a16="http://schemas.microsoft.com/office/drawing/2014/main" id="{00000000-0008-0000-0900-0000EB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235</xdr:row>
      <xdr:rowOff>0</xdr:rowOff>
    </xdr:from>
    <xdr:ext cx="381000" cy="381000"/>
    <xdr:pic>
      <xdr:nvPicPr>
        <xdr:cNvPr id="236" name="image32.jpg">
          <a:extLst>
            <a:ext uri="{FF2B5EF4-FFF2-40B4-BE49-F238E27FC236}">
              <a16:creationId xmlns:a16="http://schemas.microsoft.com/office/drawing/2014/main" id="{00000000-0008-0000-0900-0000EC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236</xdr:row>
      <xdr:rowOff>0</xdr:rowOff>
    </xdr:from>
    <xdr:ext cx="381000" cy="381000"/>
    <xdr:pic>
      <xdr:nvPicPr>
        <xdr:cNvPr id="237" name="image54.jpg">
          <a:extLst>
            <a:ext uri="{FF2B5EF4-FFF2-40B4-BE49-F238E27FC236}">
              <a16:creationId xmlns:a16="http://schemas.microsoft.com/office/drawing/2014/main" id="{00000000-0008-0000-0900-0000ED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237</xdr:row>
      <xdr:rowOff>0</xdr:rowOff>
    </xdr:from>
    <xdr:ext cx="381000" cy="381000"/>
    <xdr:pic>
      <xdr:nvPicPr>
        <xdr:cNvPr id="238" name="image11.jpg">
          <a:extLst>
            <a:ext uri="{FF2B5EF4-FFF2-40B4-BE49-F238E27FC236}">
              <a16:creationId xmlns:a16="http://schemas.microsoft.com/office/drawing/2014/main" id="{00000000-0008-0000-0900-0000EE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238</xdr:row>
      <xdr:rowOff>0</xdr:rowOff>
    </xdr:from>
    <xdr:ext cx="381000" cy="381000"/>
    <xdr:pic>
      <xdr:nvPicPr>
        <xdr:cNvPr id="239" name="image32.jpg">
          <a:extLst>
            <a:ext uri="{FF2B5EF4-FFF2-40B4-BE49-F238E27FC236}">
              <a16:creationId xmlns:a16="http://schemas.microsoft.com/office/drawing/2014/main" id="{00000000-0008-0000-0900-0000EF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239</xdr:row>
      <xdr:rowOff>0</xdr:rowOff>
    </xdr:from>
    <xdr:ext cx="381000" cy="381000"/>
    <xdr:pic>
      <xdr:nvPicPr>
        <xdr:cNvPr id="240" name="image54.jpg">
          <a:extLst>
            <a:ext uri="{FF2B5EF4-FFF2-40B4-BE49-F238E27FC236}">
              <a16:creationId xmlns:a16="http://schemas.microsoft.com/office/drawing/2014/main" id="{00000000-0008-0000-0900-0000F0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240</xdr:row>
      <xdr:rowOff>0</xdr:rowOff>
    </xdr:from>
    <xdr:ext cx="381000" cy="381000"/>
    <xdr:pic>
      <xdr:nvPicPr>
        <xdr:cNvPr id="241" name="image11.jpg">
          <a:extLst>
            <a:ext uri="{FF2B5EF4-FFF2-40B4-BE49-F238E27FC236}">
              <a16:creationId xmlns:a16="http://schemas.microsoft.com/office/drawing/2014/main" id="{00000000-0008-0000-0900-0000F1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241</xdr:row>
      <xdr:rowOff>0</xdr:rowOff>
    </xdr:from>
    <xdr:ext cx="381000" cy="381000"/>
    <xdr:pic>
      <xdr:nvPicPr>
        <xdr:cNvPr id="242" name="image32.jpg">
          <a:extLst>
            <a:ext uri="{FF2B5EF4-FFF2-40B4-BE49-F238E27FC236}">
              <a16:creationId xmlns:a16="http://schemas.microsoft.com/office/drawing/2014/main" id="{00000000-0008-0000-0900-0000F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242</xdr:row>
      <xdr:rowOff>0</xdr:rowOff>
    </xdr:from>
    <xdr:ext cx="381000" cy="381000"/>
    <xdr:pic>
      <xdr:nvPicPr>
        <xdr:cNvPr id="243" name="image54.jpg">
          <a:extLst>
            <a:ext uri="{FF2B5EF4-FFF2-40B4-BE49-F238E27FC236}">
              <a16:creationId xmlns:a16="http://schemas.microsoft.com/office/drawing/2014/main" id="{00000000-0008-0000-0900-0000F3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243</xdr:row>
      <xdr:rowOff>0</xdr:rowOff>
    </xdr:from>
    <xdr:ext cx="381000" cy="381000"/>
    <xdr:pic>
      <xdr:nvPicPr>
        <xdr:cNvPr id="244" name="image11.jpg">
          <a:extLst>
            <a:ext uri="{FF2B5EF4-FFF2-40B4-BE49-F238E27FC236}">
              <a16:creationId xmlns:a16="http://schemas.microsoft.com/office/drawing/2014/main" id="{00000000-0008-0000-0900-0000F4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244</xdr:row>
      <xdr:rowOff>0</xdr:rowOff>
    </xdr:from>
    <xdr:ext cx="381000" cy="381000"/>
    <xdr:pic>
      <xdr:nvPicPr>
        <xdr:cNvPr id="245" name="image32.jpg">
          <a:extLst>
            <a:ext uri="{FF2B5EF4-FFF2-40B4-BE49-F238E27FC236}">
              <a16:creationId xmlns:a16="http://schemas.microsoft.com/office/drawing/2014/main" id="{00000000-0008-0000-0900-0000F5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245</xdr:row>
      <xdr:rowOff>0</xdr:rowOff>
    </xdr:from>
    <xdr:ext cx="381000" cy="381000"/>
    <xdr:pic>
      <xdr:nvPicPr>
        <xdr:cNvPr id="246" name="image54.jpg">
          <a:extLst>
            <a:ext uri="{FF2B5EF4-FFF2-40B4-BE49-F238E27FC236}">
              <a16:creationId xmlns:a16="http://schemas.microsoft.com/office/drawing/2014/main" id="{00000000-0008-0000-0900-0000F6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246</xdr:row>
      <xdr:rowOff>0</xdr:rowOff>
    </xdr:from>
    <xdr:ext cx="381000" cy="381000"/>
    <xdr:pic>
      <xdr:nvPicPr>
        <xdr:cNvPr id="247" name="image11.jpg">
          <a:extLst>
            <a:ext uri="{FF2B5EF4-FFF2-40B4-BE49-F238E27FC236}">
              <a16:creationId xmlns:a16="http://schemas.microsoft.com/office/drawing/2014/main" id="{00000000-0008-0000-0900-0000F7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247</xdr:row>
      <xdr:rowOff>0</xdr:rowOff>
    </xdr:from>
    <xdr:ext cx="381000" cy="381000"/>
    <xdr:pic>
      <xdr:nvPicPr>
        <xdr:cNvPr id="248" name="image32.jpg">
          <a:extLst>
            <a:ext uri="{FF2B5EF4-FFF2-40B4-BE49-F238E27FC236}">
              <a16:creationId xmlns:a16="http://schemas.microsoft.com/office/drawing/2014/main" id="{00000000-0008-0000-0900-0000F8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248</xdr:row>
      <xdr:rowOff>0</xdr:rowOff>
    </xdr:from>
    <xdr:ext cx="381000" cy="381000"/>
    <xdr:pic>
      <xdr:nvPicPr>
        <xdr:cNvPr id="249" name="image54.jpg">
          <a:extLst>
            <a:ext uri="{FF2B5EF4-FFF2-40B4-BE49-F238E27FC236}">
              <a16:creationId xmlns:a16="http://schemas.microsoft.com/office/drawing/2014/main" id="{00000000-0008-0000-0900-0000F9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249</xdr:row>
      <xdr:rowOff>0</xdr:rowOff>
    </xdr:from>
    <xdr:ext cx="381000" cy="381000"/>
    <xdr:pic>
      <xdr:nvPicPr>
        <xdr:cNvPr id="250" name="image11.jpg">
          <a:extLst>
            <a:ext uri="{FF2B5EF4-FFF2-40B4-BE49-F238E27FC236}">
              <a16:creationId xmlns:a16="http://schemas.microsoft.com/office/drawing/2014/main" id="{00000000-0008-0000-0900-0000FA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250</xdr:row>
      <xdr:rowOff>0</xdr:rowOff>
    </xdr:from>
    <xdr:ext cx="381000" cy="381000"/>
    <xdr:pic>
      <xdr:nvPicPr>
        <xdr:cNvPr id="251" name="image32.jpg">
          <a:extLst>
            <a:ext uri="{FF2B5EF4-FFF2-40B4-BE49-F238E27FC236}">
              <a16:creationId xmlns:a16="http://schemas.microsoft.com/office/drawing/2014/main" id="{00000000-0008-0000-0900-0000FB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251</xdr:row>
      <xdr:rowOff>0</xdr:rowOff>
    </xdr:from>
    <xdr:ext cx="381000" cy="381000"/>
    <xdr:pic>
      <xdr:nvPicPr>
        <xdr:cNvPr id="252" name="image54.jpg">
          <a:extLst>
            <a:ext uri="{FF2B5EF4-FFF2-40B4-BE49-F238E27FC236}">
              <a16:creationId xmlns:a16="http://schemas.microsoft.com/office/drawing/2014/main" id="{00000000-0008-0000-0900-0000FC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252</xdr:row>
      <xdr:rowOff>0</xdr:rowOff>
    </xdr:from>
    <xdr:ext cx="381000" cy="381000"/>
    <xdr:pic>
      <xdr:nvPicPr>
        <xdr:cNvPr id="253" name="image11.jpg">
          <a:extLst>
            <a:ext uri="{FF2B5EF4-FFF2-40B4-BE49-F238E27FC236}">
              <a16:creationId xmlns:a16="http://schemas.microsoft.com/office/drawing/2014/main" id="{00000000-0008-0000-0900-0000FD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253</xdr:row>
      <xdr:rowOff>0</xdr:rowOff>
    </xdr:from>
    <xdr:ext cx="381000" cy="381000"/>
    <xdr:pic>
      <xdr:nvPicPr>
        <xdr:cNvPr id="254" name="image32.jpg">
          <a:extLst>
            <a:ext uri="{FF2B5EF4-FFF2-40B4-BE49-F238E27FC236}">
              <a16:creationId xmlns:a16="http://schemas.microsoft.com/office/drawing/2014/main" id="{00000000-0008-0000-0900-0000FE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254</xdr:row>
      <xdr:rowOff>0</xdr:rowOff>
    </xdr:from>
    <xdr:ext cx="381000" cy="381000"/>
    <xdr:pic>
      <xdr:nvPicPr>
        <xdr:cNvPr id="255" name="image54.jpg">
          <a:extLst>
            <a:ext uri="{FF2B5EF4-FFF2-40B4-BE49-F238E27FC236}">
              <a16:creationId xmlns:a16="http://schemas.microsoft.com/office/drawing/2014/main" id="{00000000-0008-0000-0900-0000FF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255</xdr:row>
      <xdr:rowOff>0</xdr:rowOff>
    </xdr:from>
    <xdr:ext cx="381000" cy="381000"/>
    <xdr:pic>
      <xdr:nvPicPr>
        <xdr:cNvPr id="256" name="image11.jpg">
          <a:extLst>
            <a:ext uri="{FF2B5EF4-FFF2-40B4-BE49-F238E27FC236}">
              <a16:creationId xmlns:a16="http://schemas.microsoft.com/office/drawing/2014/main" id="{00000000-0008-0000-0900-000000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256</xdr:row>
      <xdr:rowOff>0</xdr:rowOff>
    </xdr:from>
    <xdr:ext cx="381000" cy="381000"/>
    <xdr:pic>
      <xdr:nvPicPr>
        <xdr:cNvPr id="257" name="image32.jpg">
          <a:extLst>
            <a:ext uri="{FF2B5EF4-FFF2-40B4-BE49-F238E27FC236}">
              <a16:creationId xmlns:a16="http://schemas.microsoft.com/office/drawing/2014/main" id="{00000000-0008-0000-0900-000001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257</xdr:row>
      <xdr:rowOff>0</xdr:rowOff>
    </xdr:from>
    <xdr:ext cx="381000" cy="381000"/>
    <xdr:pic>
      <xdr:nvPicPr>
        <xdr:cNvPr id="258" name="image54.jpg">
          <a:extLst>
            <a:ext uri="{FF2B5EF4-FFF2-40B4-BE49-F238E27FC236}">
              <a16:creationId xmlns:a16="http://schemas.microsoft.com/office/drawing/2014/main" id="{00000000-0008-0000-0900-000002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258</xdr:row>
      <xdr:rowOff>0</xdr:rowOff>
    </xdr:from>
    <xdr:ext cx="381000" cy="381000"/>
    <xdr:pic>
      <xdr:nvPicPr>
        <xdr:cNvPr id="259" name="image11.jpg">
          <a:extLst>
            <a:ext uri="{FF2B5EF4-FFF2-40B4-BE49-F238E27FC236}">
              <a16:creationId xmlns:a16="http://schemas.microsoft.com/office/drawing/2014/main" id="{00000000-0008-0000-0900-000003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259</xdr:row>
      <xdr:rowOff>0</xdr:rowOff>
    </xdr:from>
    <xdr:ext cx="381000" cy="381000"/>
    <xdr:pic>
      <xdr:nvPicPr>
        <xdr:cNvPr id="260" name="image32.jpg">
          <a:extLst>
            <a:ext uri="{FF2B5EF4-FFF2-40B4-BE49-F238E27FC236}">
              <a16:creationId xmlns:a16="http://schemas.microsoft.com/office/drawing/2014/main" id="{00000000-0008-0000-0900-000004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260</xdr:row>
      <xdr:rowOff>0</xdr:rowOff>
    </xdr:from>
    <xdr:ext cx="381000" cy="381000"/>
    <xdr:pic>
      <xdr:nvPicPr>
        <xdr:cNvPr id="261" name="image54.jpg">
          <a:extLst>
            <a:ext uri="{FF2B5EF4-FFF2-40B4-BE49-F238E27FC236}">
              <a16:creationId xmlns:a16="http://schemas.microsoft.com/office/drawing/2014/main" id="{00000000-0008-0000-0900-000005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261</xdr:row>
      <xdr:rowOff>0</xdr:rowOff>
    </xdr:from>
    <xdr:ext cx="381000" cy="381000"/>
    <xdr:pic>
      <xdr:nvPicPr>
        <xdr:cNvPr id="262" name="image11.jpg">
          <a:extLst>
            <a:ext uri="{FF2B5EF4-FFF2-40B4-BE49-F238E27FC236}">
              <a16:creationId xmlns:a16="http://schemas.microsoft.com/office/drawing/2014/main" id="{00000000-0008-0000-0900-000006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262</xdr:row>
      <xdr:rowOff>0</xdr:rowOff>
    </xdr:from>
    <xdr:ext cx="381000" cy="381000"/>
    <xdr:pic>
      <xdr:nvPicPr>
        <xdr:cNvPr id="263" name="image32.jpg">
          <a:extLst>
            <a:ext uri="{FF2B5EF4-FFF2-40B4-BE49-F238E27FC236}">
              <a16:creationId xmlns:a16="http://schemas.microsoft.com/office/drawing/2014/main" id="{00000000-0008-0000-0900-000007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263</xdr:row>
      <xdr:rowOff>0</xdr:rowOff>
    </xdr:from>
    <xdr:ext cx="381000" cy="381000"/>
    <xdr:pic>
      <xdr:nvPicPr>
        <xdr:cNvPr id="264" name="image54.jpg">
          <a:extLst>
            <a:ext uri="{FF2B5EF4-FFF2-40B4-BE49-F238E27FC236}">
              <a16:creationId xmlns:a16="http://schemas.microsoft.com/office/drawing/2014/main" id="{00000000-0008-0000-0900-000008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264</xdr:row>
      <xdr:rowOff>0</xdr:rowOff>
    </xdr:from>
    <xdr:ext cx="381000" cy="381000"/>
    <xdr:pic>
      <xdr:nvPicPr>
        <xdr:cNvPr id="265" name="image11.jpg">
          <a:extLst>
            <a:ext uri="{FF2B5EF4-FFF2-40B4-BE49-F238E27FC236}">
              <a16:creationId xmlns:a16="http://schemas.microsoft.com/office/drawing/2014/main" id="{00000000-0008-0000-0900-000009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265</xdr:row>
      <xdr:rowOff>0</xdr:rowOff>
    </xdr:from>
    <xdr:ext cx="381000" cy="381000"/>
    <xdr:pic>
      <xdr:nvPicPr>
        <xdr:cNvPr id="266" name="image32.jpg">
          <a:extLst>
            <a:ext uri="{FF2B5EF4-FFF2-40B4-BE49-F238E27FC236}">
              <a16:creationId xmlns:a16="http://schemas.microsoft.com/office/drawing/2014/main" id="{00000000-0008-0000-0900-00000A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266</xdr:row>
      <xdr:rowOff>0</xdr:rowOff>
    </xdr:from>
    <xdr:ext cx="381000" cy="381000"/>
    <xdr:pic>
      <xdr:nvPicPr>
        <xdr:cNvPr id="267" name="image54.jpg">
          <a:extLst>
            <a:ext uri="{FF2B5EF4-FFF2-40B4-BE49-F238E27FC236}">
              <a16:creationId xmlns:a16="http://schemas.microsoft.com/office/drawing/2014/main" id="{00000000-0008-0000-0900-00000B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267</xdr:row>
      <xdr:rowOff>0</xdr:rowOff>
    </xdr:from>
    <xdr:ext cx="381000" cy="381000"/>
    <xdr:pic>
      <xdr:nvPicPr>
        <xdr:cNvPr id="268" name="image11.jpg">
          <a:extLst>
            <a:ext uri="{FF2B5EF4-FFF2-40B4-BE49-F238E27FC236}">
              <a16:creationId xmlns:a16="http://schemas.microsoft.com/office/drawing/2014/main" id="{00000000-0008-0000-0900-00000C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268</xdr:row>
      <xdr:rowOff>0</xdr:rowOff>
    </xdr:from>
    <xdr:ext cx="381000" cy="381000"/>
    <xdr:pic>
      <xdr:nvPicPr>
        <xdr:cNvPr id="269" name="image32.jpg">
          <a:extLst>
            <a:ext uri="{FF2B5EF4-FFF2-40B4-BE49-F238E27FC236}">
              <a16:creationId xmlns:a16="http://schemas.microsoft.com/office/drawing/2014/main" id="{00000000-0008-0000-0900-00000D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269</xdr:row>
      <xdr:rowOff>0</xdr:rowOff>
    </xdr:from>
    <xdr:ext cx="381000" cy="381000"/>
    <xdr:pic>
      <xdr:nvPicPr>
        <xdr:cNvPr id="270" name="image54.jpg">
          <a:extLst>
            <a:ext uri="{FF2B5EF4-FFF2-40B4-BE49-F238E27FC236}">
              <a16:creationId xmlns:a16="http://schemas.microsoft.com/office/drawing/2014/main" id="{00000000-0008-0000-0900-00000E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270</xdr:row>
      <xdr:rowOff>0</xdr:rowOff>
    </xdr:from>
    <xdr:ext cx="381000" cy="381000"/>
    <xdr:pic>
      <xdr:nvPicPr>
        <xdr:cNvPr id="271" name="image11.jpg">
          <a:extLst>
            <a:ext uri="{FF2B5EF4-FFF2-40B4-BE49-F238E27FC236}">
              <a16:creationId xmlns:a16="http://schemas.microsoft.com/office/drawing/2014/main" id="{00000000-0008-0000-0900-00000F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271</xdr:row>
      <xdr:rowOff>0</xdr:rowOff>
    </xdr:from>
    <xdr:ext cx="381000" cy="381000"/>
    <xdr:pic>
      <xdr:nvPicPr>
        <xdr:cNvPr id="272" name="image32.jpg">
          <a:extLst>
            <a:ext uri="{FF2B5EF4-FFF2-40B4-BE49-F238E27FC236}">
              <a16:creationId xmlns:a16="http://schemas.microsoft.com/office/drawing/2014/main" id="{00000000-0008-0000-0900-000010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272</xdr:row>
      <xdr:rowOff>0</xdr:rowOff>
    </xdr:from>
    <xdr:ext cx="381000" cy="381000"/>
    <xdr:pic>
      <xdr:nvPicPr>
        <xdr:cNvPr id="273" name="image54.jpg">
          <a:extLst>
            <a:ext uri="{FF2B5EF4-FFF2-40B4-BE49-F238E27FC236}">
              <a16:creationId xmlns:a16="http://schemas.microsoft.com/office/drawing/2014/main" id="{00000000-0008-0000-0900-000011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273</xdr:row>
      <xdr:rowOff>0</xdr:rowOff>
    </xdr:from>
    <xdr:ext cx="381000" cy="381000"/>
    <xdr:pic>
      <xdr:nvPicPr>
        <xdr:cNvPr id="274" name="image11.jpg">
          <a:extLst>
            <a:ext uri="{FF2B5EF4-FFF2-40B4-BE49-F238E27FC236}">
              <a16:creationId xmlns:a16="http://schemas.microsoft.com/office/drawing/2014/main" id="{00000000-0008-0000-0900-000012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274</xdr:row>
      <xdr:rowOff>0</xdr:rowOff>
    </xdr:from>
    <xdr:ext cx="381000" cy="381000"/>
    <xdr:pic>
      <xdr:nvPicPr>
        <xdr:cNvPr id="275" name="image32.jpg">
          <a:extLst>
            <a:ext uri="{FF2B5EF4-FFF2-40B4-BE49-F238E27FC236}">
              <a16:creationId xmlns:a16="http://schemas.microsoft.com/office/drawing/2014/main" id="{00000000-0008-0000-0900-00001301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xdr:col>
      <xdr:colOff>0</xdr:colOff>
      <xdr:row>275</xdr:row>
      <xdr:rowOff>0</xdr:rowOff>
    </xdr:from>
    <xdr:ext cx="381000" cy="381000"/>
    <xdr:pic>
      <xdr:nvPicPr>
        <xdr:cNvPr id="276" name="image54.jpg">
          <a:extLst>
            <a:ext uri="{FF2B5EF4-FFF2-40B4-BE49-F238E27FC236}">
              <a16:creationId xmlns:a16="http://schemas.microsoft.com/office/drawing/2014/main" id="{00000000-0008-0000-0900-00001401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0</xdr:colOff>
      <xdr:row>276</xdr:row>
      <xdr:rowOff>0</xdr:rowOff>
    </xdr:from>
    <xdr:ext cx="381000" cy="381000"/>
    <xdr:pic>
      <xdr:nvPicPr>
        <xdr:cNvPr id="277" name="image21.jpg">
          <a:extLst>
            <a:ext uri="{FF2B5EF4-FFF2-40B4-BE49-F238E27FC236}">
              <a16:creationId xmlns:a16="http://schemas.microsoft.com/office/drawing/2014/main" id="{00000000-0008-0000-0900-000015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277</xdr:row>
      <xdr:rowOff>0</xdr:rowOff>
    </xdr:from>
    <xdr:ext cx="381000" cy="381000"/>
    <xdr:pic>
      <xdr:nvPicPr>
        <xdr:cNvPr id="278" name="image46.jpg">
          <a:extLst>
            <a:ext uri="{FF2B5EF4-FFF2-40B4-BE49-F238E27FC236}">
              <a16:creationId xmlns:a16="http://schemas.microsoft.com/office/drawing/2014/main" id="{00000000-0008-0000-0900-000016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278</xdr:row>
      <xdr:rowOff>0</xdr:rowOff>
    </xdr:from>
    <xdr:ext cx="381000" cy="381000"/>
    <xdr:pic>
      <xdr:nvPicPr>
        <xdr:cNvPr id="279" name="image20.png">
          <a:extLst>
            <a:ext uri="{FF2B5EF4-FFF2-40B4-BE49-F238E27FC236}">
              <a16:creationId xmlns:a16="http://schemas.microsoft.com/office/drawing/2014/main" id="{00000000-0008-0000-0900-000017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279</xdr:row>
      <xdr:rowOff>0</xdr:rowOff>
    </xdr:from>
    <xdr:ext cx="381000" cy="381000"/>
    <xdr:pic>
      <xdr:nvPicPr>
        <xdr:cNvPr id="280" name="image20.png">
          <a:extLst>
            <a:ext uri="{FF2B5EF4-FFF2-40B4-BE49-F238E27FC236}">
              <a16:creationId xmlns:a16="http://schemas.microsoft.com/office/drawing/2014/main" id="{00000000-0008-0000-0900-000018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280</xdr:row>
      <xdr:rowOff>0</xdr:rowOff>
    </xdr:from>
    <xdr:ext cx="381000" cy="381000"/>
    <xdr:pic>
      <xdr:nvPicPr>
        <xdr:cNvPr id="281" name="image138.png">
          <a:extLst>
            <a:ext uri="{FF2B5EF4-FFF2-40B4-BE49-F238E27FC236}">
              <a16:creationId xmlns:a16="http://schemas.microsoft.com/office/drawing/2014/main" id="{00000000-0008-0000-0900-000019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281</xdr:row>
      <xdr:rowOff>0</xdr:rowOff>
    </xdr:from>
    <xdr:ext cx="381000" cy="381000"/>
    <xdr:pic>
      <xdr:nvPicPr>
        <xdr:cNvPr id="282" name="image20.png">
          <a:extLst>
            <a:ext uri="{FF2B5EF4-FFF2-40B4-BE49-F238E27FC236}">
              <a16:creationId xmlns:a16="http://schemas.microsoft.com/office/drawing/2014/main" id="{00000000-0008-0000-0900-00001A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282</xdr:row>
      <xdr:rowOff>0</xdr:rowOff>
    </xdr:from>
    <xdr:ext cx="371475" cy="381000"/>
    <xdr:pic>
      <xdr:nvPicPr>
        <xdr:cNvPr id="283" name="image164.png">
          <a:extLst>
            <a:ext uri="{FF2B5EF4-FFF2-40B4-BE49-F238E27FC236}">
              <a16:creationId xmlns:a16="http://schemas.microsoft.com/office/drawing/2014/main" id="{00000000-0008-0000-0900-00001B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283</xdr:row>
      <xdr:rowOff>0</xdr:rowOff>
    </xdr:from>
    <xdr:ext cx="381000" cy="381000"/>
    <xdr:pic>
      <xdr:nvPicPr>
        <xdr:cNvPr id="284" name="image138.png">
          <a:extLst>
            <a:ext uri="{FF2B5EF4-FFF2-40B4-BE49-F238E27FC236}">
              <a16:creationId xmlns:a16="http://schemas.microsoft.com/office/drawing/2014/main" id="{00000000-0008-0000-0900-00001C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284</xdr:row>
      <xdr:rowOff>0</xdr:rowOff>
    </xdr:from>
    <xdr:ext cx="381000" cy="381000"/>
    <xdr:pic>
      <xdr:nvPicPr>
        <xdr:cNvPr id="285" name="image20.png">
          <a:extLst>
            <a:ext uri="{FF2B5EF4-FFF2-40B4-BE49-F238E27FC236}">
              <a16:creationId xmlns:a16="http://schemas.microsoft.com/office/drawing/2014/main" id="{00000000-0008-0000-0900-00001D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285</xdr:row>
      <xdr:rowOff>0</xdr:rowOff>
    </xdr:from>
    <xdr:ext cx="381000" cy="381000"/>
    <xdr:pic>
      <xdr:nvPicPr>
        <xdr:cNvPr id="286" name="image20.png">
          <a:extLst>
            <a:ext uri="{FF2B5EF4-FFF2-40B4-BE49-F238E27FC236}">
              <a16:creationId xmlns:a16="http://schemas.microsoft.com/office/drawing/2014/main" id="{00000000-0008-0000-0900-00001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286</xdr:row>
      <xdr:rowOff>0</xdr:rowOff>
    </xdr:from>
    <xdr:ext cx="381000" cy="381000"/>
    <xdr:pic>
      <xdr:nvPicPr>
        <xdr:cNvPr id="287" name="image21.jpg">
          <a:extLst>
            <a:ext uri="{FF2B5EF4-FFF2-40B4-BE49-F238E27FC236}">
              <a16:creationId xmlns:a16="http://schemas.microsoft.com/office/drawing/2014/main" id="{00000000-0008-0000-0900-00001F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287</xdr:row>
      <xdr:rowOff>0</xdr:rowOff>
    </xdr:from>
    <xdr:ext cx="381000" cy="381000"/>
    <xdr:pic>
      <xdr:nvPicPr>
        <xdr:cNvPr id="288" name="image46.jpg">
          <a:extLst>
            <a:ext uri="{FF2B5EF4-FFF2-40B4-BE49-F238E27FC236}">
              <a16:creationId xmlns:a16="http://schemas.microsoft.com/office/drawing/2014/main" id="{00000000-0008-0000-0900-000020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288</xdr:row>
      <xdr:rowOff>0</xdr:rowOff>
    </xdr:from>
    <xdr:ext cx="381000" cy="381000"/>
    <xdr:pic>
      <xdr:nvPicPr>
        <xdr:cNvPr id="289" name="image21.jpg">
          <a:extLst>
            <a:ext uri="{FF2B5EF4-FFF2-40B4-BE49-F238E27FC236}">
              <a16:creationId xmlns:a16="http://schemas.microsoft.com/office/drawing/2014/main" id="{00000000-0008-0000-0900-000021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289</xdr:row>
      <xdr:rowOff>0</xdr:rowOff>
    </xdr:from>
    <xdr:ext cx="381000" cy="381000"/>
    <xdr:pic>
      <xdr:nvPicPr>
        <xdr:cNvPr id="290" name="image46.jpg">
          <a:extLst>
            <a:ext uri="{FF2B5EF4-FFF2-40B4-BE49-F238E27FC236}">
              <a16:creationId xmlns:a16="http://schemas.microsoft.com/office/drawing/2014/main" id="{00000000-0008-0000-0900-000022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290</xdr:row>
      <xdr:rowOff>0</xdr:rowOff>
    </xdr:from>
    <xdr:ext cx="381000" cy="381000"/>
    <xdr:pic>
      <xdr:nvPicPr>
        <xdr:cNvPr id="291" name="image21.jpg">
          <a:extLst>
            <a:ext uri="{FF2B5EF4-FFF2-40B4-BE49-F238E27FC236}">
              <a16:creationId xmlns:a16="http://schemas.microsoft.com/office/drawing/2014/main" id="{00000000-0008-0000-0900-000023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291</xdr:row>
      <xdr:rowOff>0</xdr:rowOff>
    </xdr:from>
    <xdr:ext cx="381000" cy="381000"/>
    <xdr:pic>
      <xdr:nvPicPr>
        <xdr:cNvPr id="292" name="image20.png">
          <a:extLst>
            <a:ext uri="{FF2B5EF4-FFF2-40B4-BE49-F238E27FC236}">
              <a16:creationId xmlns:a16="http://schemas.microsoft.com/office/drawing/2014/main" id="{00000000-0008-0000-0900-000024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292</xdr:row>
      <xdr:rowOff>0</xdr:rowOff>
    </xdr:from>
    <xdr:ext cx="381000" cy="381000"/>
    <xdr:pic>
      <xdr:nvPicPr>
        <xdr:cNvPr id="293" name="image138.png">
          <a:extLst>
            <a:ext uri="{FF2B5EF4-FFF2-40B4-BE49-F238E27FC236}">
              <a16:creationId xmlns:a16="http://schemas.microsoft.com/office/drawing/2014/main" id="{00000000-0008-0000-0900-000025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293</xdr:row>
      <xdr:rowOff>0</xdr:rowOff>
    </xdr:from>
    <xdr:ext cx="381000" cy="381000"/>
    <xdr:pic>
      <xdr:nvPicPr>
        <xdr:cNvPr id="294" name="image20.png">
          <a:extLst>
            <a:ext uri="{FF2B5EF4-FFF2-40B4-BE49-F238E27FC236}">
              <a16:creationId xmlns:a16="http://schemas.microsoft.com/office/drawing/2014/main" id="{00000000-0008-0000-0900-000026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294</xdr:row>
      <xdr:rowOff>0</xdr:rowOff>
    </xdr:from>
    <xdr:ext cx="381000" cy="381000"/>
    <xdr:pic>
      <xdr:nvPicPr>
        <xdr:cNvPr id="295" name="image21.jpg">
          <a:extLst>
            <a:ext uri="{FF2B5EF4-FFF2-40B4-BE49-F238E27FC236}">
              <a16:creationId xmlns:a16="http://schemas.microsoft.com/office/drawing/2014/main" id="{00000000-0008-0000-0900-000027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295</xdr:row>
      <xdr:rowOff>0</xdr:rowOff>
    </xdr:from>
    <xdr:ext cx="381000" cy="381000"/>
    <xdr:pic>
      <xdr:nvPicPr>
        <xdr:cNvPr id="296" name="image46.jpg">
          <a:extLst>
            <a:ext uri="{FF2B5EF4-FFF2-40B4-BE49-F238E27FC236}">
              <a16:creationId xmlns:a16="http://schemas.microsoft.com/office/drawing/2014/main" id="{00000000-0008-0000-0900-000028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296</xdr:row>
      <xdr:rowOff>0</xdr:rowOff>
    </xdr:from>
    <xdr:ext cx="381000" cy="381000"/>
    <xdr:pic>
      <xdr:nvPicPr>
        <xdr:cNvPr id="297" name="image21.jpg">
          <a:extLst>
            <a:ext uri="{FF2B5EF4-FFF2-40B4-BE49-F238E27FC236}">
              <a16:creationId xmlns:a16="http://schemas.microsoft.com/office/drawing/2014/main" id="{00000000-0008-0000-0900-000029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297</xdr:row>
      <xdr:rowOff>0</xdr:rowOff>
    </xdr:from>
    <xdr:ext cx="381000" cy="381000"/>
    <xdr:pic>
      <xdr:nvPicPr>
        <xdr:cNvPr id="298" name="image46.jpg">
          <a:extLst>
            <a:ext uri="{FF2B5EF4-FFF2-40B4-BE49-F238E27FC236}">
              <a16:creationId xmlns:a16="http://schemas.microsoft.com/office/drawing/2014/main" id="{00000000-0008-0000-0900-00002A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298</xdr:row>
      <xdr:rowOff>0</xdr:rowOff>
    </xdr:from>
    <xdr:ext cx="381000" cy="381000"/>
    <xdr:pic>
      <xdr:nvPicPr>
        <xdr:cNvPr id="299" name="image21.jpg">
          <a:extLst>
            <a:ext uri="{FF2B5EF4-FFF2-40B4-BE49-F238E27FC236}">
              <a16:creationId xmlns:a16="http://schemas.microsoft.com/office/drawing/2014/main" id="{00000000-0008-0000-0900-00002B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299</xdr:row>
      <xdr:rowOff>0</xdr:rowOff>
    </xdr:from>
    <xdr:ext cx="381000" cy="381000"/>
    <xdr:pic>
      <xdr:nvPicPr>
        <xdr:cNvPr id="300" name="image20.png">
          <a:extLst>
            <a:ext uri="{FF2B5EF4-FFF2-40B4-BE49-F238E27FC236}">
              <a16:creationId xmlns:a16="http://schemas.microsoft.com/office/drawing/2014/main" id="{00000000-0008-0000-0900-00002C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300</xdr:row>
      <xdr:rowOff>0</xdr:rowOff>
    </xdr:from>
    <xdr:ext cx="381000" cy="381000"/>
    <xdr:pic>
      <xdr:nvPicPr>
        <xdr:cNvPr id="301" name="image138.png">
          <a:extLst>
            <a:ext uri="{FF2B5EF4-FFF2-40B4-BE49-F238E27FC236}">
              <a16:creationId xmlns:a16="http://schemas.microsoft.com/office/drawing/2014/main" id="{00000000-0008-0000-0900-00002D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301</xdr:row>
      <xdr:rowOff>0</xdr:rowOff>
    </xdr:from>
    <xdr:ext cx="381000" cy="381000"/>
    <xdr:pic>
      <xdr:nvPicPr>
        <xdr:cNvPr id="302" name="image20.png">
          <a:extLst>
            <a:ext uri="{FF2B5EF4-FFF2-40B4-BE49-F238E27FC236}">
              <a16:creationId xmlns:a16="http://schemas.microsoft.com/office/drawing/2014/main" id="{00000000-0008-0000-0900-00002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302</xdr:row>
      <xdr:rowOff>0</xdr:rowOff>
    </xdr:from>
    <xdr:ext cx="381000" cy="381000"/>
    <xdr:pic>
      <xdr:nvPicPr>
        <xdr:cNvPr id="303" name="image21.jpg">
          <a:extLst>
            <a:ext uri="{FF2B5EF4-FFF2-40B4-BE49-F238E27FC236}">
              <a16:creationId xmlns:a16="http://schemas.microsoft.com/office/drawing/2014/main" id="{00000000-0008-0000-0900-00002F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303</xdr:row>
      <xdr:rowOff>0</xdr:rowOff>
    </xdr:from>
    <xdr:ext cx="381000" cy="381000"/>
    <xdr:pic>
      <xdr:nvPicPr>
        <xdr:cNvPr id="304" name="image15.jpg">
          <a:extLst>
            <a:ext uri="{FF2B5EF4-FFF2-40B4-BE49-F238E27FC236}">
              <a16:creationId xmlns:a16="http://schemas.microsoft.com/office/drawing/2014/main" id="{00000000-0008-0000-0900-000030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304</xdr:row>
      <xdr:rowOff>0</xdr:rowOff>
    </xdr:from>
    <xdr:ext cx="381000" cy="381000"/>
    <xdr:pic>
      <xdr:nvPicPr>
        <xdr:cNvPr id="305" name="image20.png">
          <a:extLst>
            <a:ext uri="{FF2B5EF4-FFF2-40B4-BE49-F238E27FC236}">
              <a16:creationId xmlns:a16="http://schemas.microsoft.com/office/drawing/2014/main" id="{00000000-0008-0000-0900-000031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305</xdr:row>
      <xdr:rowOff>0</xdr:rowOff>
    </xdr:from>
    <xdr:ext cx="381000" cy="381000"/>
    <xdr:pic>
      <xdr:nvPicPr>
        <xdr:cNvPr id="306" name="image20.png">
          <a:extLst>
            <a:ext uri="{FF2B5EF4-FFF2-40B4-BE49-F238E27FC236}">
              <a16:creationId xmlns:a16="http://schemas.microsoft.com/office/drawing/2014/main" id="{00000000-0008-0000-0900-000032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306</xdr:row>
      <xdr:rowOff>0</xdr:rowOff>
    </xdr:from>
    <xdr:ext cx="381000" cy="381000"/>
    <xdr:pic>
      <xdr:nvPicPr>
        <xdr:cNvPr id="307" name="image138.png">
          <a:extLst>
            <a:ext uri="{FF2B5EF4-FFF2-40B4-BE49-F238E27FC236}">
              <a16:creationId xmlns:a16="http://schemas.microsoft.com/office/drawing/2014/main" id="{00000000-0008-0000-0900-000033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307</xdr:row>
      <xdr:rowOff>0</xdr:rowOff>
    </xdr:from>
    <xdr:ext cx="381000" cy="381000"/>
    <xdr:pic>
      <xdr:nvPicPr>
        <xdr:cNvPr id="308" name="image20.png">
          <a:extLst>
            <a:ext uri="{FF2B5EF4-FFF2-40B4-BE49-F238E27FC236}">
              <a16:creationId xmlns:a16="http://schemas.microsoft.com/office/drawing/2014/main" id="{00000000-0008-0000-0900-000034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308</xdr:row>
      <xdr:rowOff>0</xdr:rowOff>
    </xdr:from>
    <xdr:ext cx="371475" cy="381000"/>
    <xdr:pic>
      <xdr:nvPicPr>
        <xdr:cNvPr id="309" name="image164.png">
          <a:extLst>
            <a:ext uri="{FF2B5EF4-FFF2-40B4-BE49-F238E27FC236}">
              <a16:creationId xmlns:a16="http://schemas.microsoft.com/office/drawing/2014/main" id="{00000000-0008-0000-0900-00003501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309</xdr:row>
      <xdr:rowOff>0</xdr:rowOff>
    </xdr:from>
    <xdr:ext cx="381000" cy="381000"/>
    <xdr:pic>
      <xdr:nvPicPr>
        <xdr:cNvPr id="310" name="image138.png">
          <a:extLst>
            <a:ext uri="{FF2B5EF4-FFF2-40B4-BE49-F238E27FC236}">
              <a16:creationId xmlns:a16="http://schemas.microsoft.com/office/drawing/2014/main" id="{00000000-0008-0000-0900-000036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310</xdr:row>
      <xdr:rowOff>0</xdr:rowOff>
    </xdr:from>
    <xdr:ext cx="381000" cy="381000"/>
    <xdr:pic>
      <xdr:nvPicPr>
        <xdr:cNvPr id="311" name="image20.png">
          <a:extLst>
            <a:ext uri="{FF2B5EF4-FFF2-40B4-BE49-F238E27FC236}">
              <a16:creationId xmlns:a16="http://schemas.microsoft.com/office/drawing/2014/main" id="{00000000-0008-0000-0900-000037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311</xdr:row>
      <xdr:rowOff>0</xdr:rowOff>
    </xdr:from>
    <xdr:ext cx="381000" cy="381000"/>
    <xdr:pic>
      <xdr:nvPicPr>
        <xdr:cNvPr id="312" name="image20.png">
          <a:extLst>
            <a:ext uri="{FF2B5EF4-FFF2-40B4-BE49-F238E27FC236}">
              <a16:creationId xmlns:a16="http://schemas.microsoft.com/office/drawing/2014/main" id="{00000000-0008-0000-0900-000038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312</xdr:row>
      <xdr:rowOff>0</xdr:rowOff>
    </xdr:from>
    <xdr:ext cx="381000" cy="381000"/>
    <xdr:pic>
      <xdr:nvPicPr>
        <xdr:cNvPr id="313" name="image15.jpg">
          <a:extLst>
            <a:ext uri="{FF2B5EF4-FFF2-40B4-BE49-F238E27FC236}">
              <a16:creationId xmlns:a16="http://schemas.microsoft.com/office/drawing/2014/main" id="{00000000-0008-0000-0900-000039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313</xdr:row>
      <xdr:rowOff>0</xdr:rowOff>
    </xdr:from>
    <xdr:ext cx="381000" cy="381000"/>
    <xdr:pic>
      <xdr:nvPicPr>
        <xdr:cNvPr id="314" name="image21.jpg">
          <a:extLst>
            <a:ext uri="{FF2B5EF4-FFF2-40B4-BE49-F238E27FC236}">
              <a16:creationId xmlns:a16="http://schemas.microsoft.com/office/drawing/2014/main" id="{00000000-0008-0000-0900-00003A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314</xdr:row>
      <xdr:rowOff>0</xdr:rowOff>
    </xdr:from>
    <xdr:ext cx="381000" cy="381000"/>
    <xdr:pic>
      <xdr:nvPicPr>
        <xdr:cNvPr id="315" name="image15.jpg">
          <a:extLst>
            <a:ext uri="{FF2B5EF4-FFF2-40B4-BE49-F238E27FC236}">
              <a16:creationId xmlns:a16="http://schemas.microsoft.com/office/drawing/2014/main" id="{00000000-0008-0000-0900-00003B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315</xdr:row>
      <xdr:rowOff>0</xdr:rowOff>
    </xdr:from>
    <xdr:ext cx="381000" cy="381000"/>
    <xdr:pic>
      <xdr:nvPicPr>
        <xdr:cNvPr id="316" name="image21.jpg">
          <a:extLst>
            <a:ext uri="{FF2B5EF4-FFF2-40B4-BE49-F238E27FC236}">
              <a16:creationId xmlns:a16="http://schemas.microsoft.com/office/drawing/2014/main" id="{00000000-0008-0000-0900-00003C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316</xdr:row>
      <xdr:rowOff>0</xdr:rowOff>
    </xdr:from>
    <xdr:ext cx="381000" cy="381000"/>
    <xdr:pic>
      <xdr:nvPicPr>
        <xdr:cNvPr id="317" name="image15.jpg">
          <a:extLst>
            <a:ext uri="{FF2B5EF4-FFF2-40B4-BE49-F238E27FC236}">
              <a16:creationId xmlns:a16="http://schemas.microsoft.com/office/drawing/2014/main" id="{00000000-0008-0000-0900-00003D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317</xdr:row>
      <xdr:rowOff>0</xdr:rowOff>
    </xdr:from>
    <xdr:ext cx="381000" cy="381000"/>
    <xdr:pic>
      <xdr:nvPicPr>
        <xdr:cNvPr id="318" name="image20.png">
          <a:extLst>
            <a:ext uri="{FF2B5EF4-FFF2-40B4-BE49-F238E27FC236}">
              <a16:creationId xmlns:a16="http://schemas.microsoft.com/office/drawing/2014/main" id="{00000000-0008-0000-0900-00003E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318</xdr:row>
      <xdr:rowOff>0</xdr:rowOff>
    </xdr:from>
    <xdr:ext cx="381000" cy="381000"/>
    <xdr:pic>
      <xdr:nvPicPr>
        <xdr:cNvPr id="319" name="image138.png">
          <a:extLst>
            <a:ext uri="{FF2B5EF4-FFF2-40B4-BE49-F238E27FC236}">
              <a16:creationId xmlns:a16="http://schemas.microsoft.com/office/drawing/2014/main" id="{00000000-0008-0000-0900-00003F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319</xdr:row>
      <xdr:rowOff>0</xdr:rowOff>
    </xdr:from>
    <xdr:ext cx="381000" cy="381000"/>
    <xdr:pic>
      <xdr:nvPicPr>
        <xdr:cNvPr id="320" name="image20.png">
          <a:extLst>
            <a:ext uri="{FF2B5EF4-FFF2-40B4-BE49-F238E27FC236}">
              <a16:creationId xmlns:a16="http://schemas.microsoft.com/office/drawing/2014/main" id="{00000000-0008-0000-0900-000040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320</xdr:row>
      <xdr:rowOff>0</xdr:rowOff>
    </xdr:from>
    <xdr:ext cx="381000" cy="381000"/>
    <xdr:pic>
      <xdr:nvPicPr>
        <xdr:cNvPr id="321" name="image15.jpg">
          <a:extLst>
            <a:ext uri="{FF2B5EF4-FFF2-40B4-BE49-F238E27FC236}">
              <a16:creationId xmlns:a16="http://schemas.microsoft.com/office/drawing/2014/main" id="{00000000-0008-0000-0900-000041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321</xdr:row>
      <xdr:rowOff>0</xdr:rowOff>
    </xdr:from>
    <xdr:ext cx="381000" cy="381000"/>
    <xdr:pic>
      <xdr:nvPicPr>
        <xdr:cNvPr id="322" name="image21.jpg">
          <a:extLst>
            <a:ext uri="{FF2B5EF4-FFF2-40B4-BE49-F238E27FC236}">
              <a16:creationId xmlns:a16="http://schemas.microsoft.com/office/drawing/2014/main" id="{00000000-0008-0000-0900-000042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322</xdr:row>
      <xdr:rowOff>0</xdr:rowOff>
    </xdr:from>
    <xdr:ext cx="381000" cy="381000"/>
    <xdr:pic>
      <xdr:nvPicPr>
        <xdr:cNvPr id="323" name="image15.jpg">
          <a:extLst>
            <a:ext uri="{FF2B5EF4-FFF2-40B4-BE49-F238E27FC236}">
              <a16:creationId xmlns:a16="http://schemas.microsoft.com/office/drawing/2014/main" id="{00000000-0008-0000-0900-000043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323</xdr:row>
      <xdr:rowOff>0</xdr:rowOff>
    </xdr:from>
    <xdr:ext cx="381000" cy="381000"/>
    <xdr:pic>
      <xdr:nvPicPr>
        <xdr:cNvPr id="324" name="image21.jpg">
          <a:extLst>
            <a:ext uri="{FF2B5EF4-FFF2-40B4-BE49-F238E27FC236}">
              <a16:creationId xmlns:a16="http://schemas.microsoft.com/office/drawing/2014/main" id="{00000000-0008-0000-0900-000044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324</xdr:row>
      <xdr:rowOff>0</xdr:rowOff>
    </xdr:from>
    <xdr:ext cx="381000" cy="381000"/>
    <xdr:pic>
      <xdr:nvPicPr>
        <xdr:cNvPr id="325" name="image15.jpg">
          <a:extLst>
            <a:ext uri="{FF2B5EF4-FFF2-40B4-BE49-F238E27FC236}">
              <a16:creationId xmlns:a16="http://schemas.microsoft.com/office/drawing/2014/main" id="{00000000-0008-0000-0900-00004501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xdr:col>
      <xdr:colOff>0</xdr:colOff>
      <xdr:row>325</xdr:row>
      <xdr:rowOff>0</xdr:rowOff>
    </xdr:from>
    <xdr:ext cx="381000" cy="381000"/>
    <xdr:pic>
      <xdr:nvPicPr>
        <xdr:cNvPr id="326" name="image20.png">
          <a:extLst>
            <a:ext uri="{FF2B5EF4-FFF2-40B4-BE49-F238E27FC236}">
              <a16:creationId xmlns:a16="http://schemas.microsoft.com/office/drawing/2014/main" id="{00000000-0008-0000-0900-000046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326</xdr:row>
      <xdr:rowOff>0</xdr:rowOff>
    </xdr:from>
    <xdr:ext cx="381000" cy="381000"/>
    <xdr:pic>
      <xdr:nvPicPr>
        <xdr:cNvPr id="327" name="image138.png">
          <a:extLst>
            <a:ext uri="{FF2B5EF4-FFF2-40B4-BE49-F238E27FC236}">
              <a16:creationId xmlns:a16="http://schemas.microsoft.com/office/drawing/2014/main" id="{00000000-0008-0000-0900-00004701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327</xdr:row>
      <xdr:rowOff>0</xdr:rowOff>
    </xdr:from>
    <xdr:ext cx="381000" cy="381000"/>
    <xdr:pic>
      <xdr:nvPicPr>
        <xdr:cNvPr id="328" name="image20.png">
          <a:extLst>
            <a:ext uri="{FF2B5EF4-FFF2-40B4-BE49-F238E27FC236}">
              <a16:creationId xmlns:a16="http://schemas.microsoft.com/office/drawing/2014/main" id="{00000000-0008-0000-0900-00004801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328</xdr:row>
      <xdr:rowOff>0</xdr:rowOff>
    </xdr:from>
    <xdr:ext cx="381000" cy="381000"/>
    <xdr:pic>
      <xdr:nvPicPr>
        <xdr:cNvPr id="329" name="image154.png">
          <a:extLst>
            <a:ext uri="{FF2B5EF4-FFF2-40B4-BE49-F238E27FC236}">
              <a16:creationId xmlns:a16="http://schemas.microsoft.com/office/drawing/2014/main" id="{00000000-0008-0000-0900-00004901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xdr:col>
      <xdr:colOff>0</xdr:colOff>
      <xdr:row>329</xdr:row>
      <xdr:rowOff>0</xdr:rowOff>
    </xdr:from>
    <xdr:ext cx="381000" cy="381000"/>
    <xdr:pic>
      <xdr:nvPicPr>
        <xdr:cNvPr id="330" name="image22.jpg">
          <a:extLst>
            <a:ext uri="{FF2B5EF4-FFF2-40B4-BE49-F238E27FC236}">
              <a16:creationId xmlns:a16="http://schemas.microsoft.com/office/drawing/2014/main" id="{00000000-0008-0000-0900-00004A01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330</xdr:row>
      <xdr:rowOff>0</xdr:rowOff>
    </xdr:from>
    <xdr:ext cx="381000" cy="381000"/>
    <xdr:pic>
      <xdr:nvPicPr>
        <xdr:cNvPr id="331" name="image46.jpg">
          <a:extLst>
            <a:ext uri="{FF2B5EF4-FFF2-40B4-BE49-F238E27FC236}">
              <a16:creationId xmlns:a16="http://schemas.microsoft.com/office/drawing/2014/main" id="{00000000-0008-0000-0900-00004B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331</xdr:row>
      <xdr:rowOff>0</xdr:rowOff>
    </xdr:from>
    <xdr:ext cx="381000" cy="381000"/>
    <xdr:pic>
      <xdr:nvPicPr>
        <xdr:cNvPr id="332" name="image48.jpg">
          <a:extLst>
            <a:ext uri="{FF2B5EF4-FFF2-40B4-BE49-F238E27FC236}">
              <a16:creationId xmlns:a16="http://schemas.microsoft.com/office/drawing/2014/main" id="{00000000-0008-0000-0900-00004C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332</xdr:row>
      <xdr:rowOff>0</xdr:rowOff>
    </xdr:from>
    <xdr:ext cx="381000" cy="381000"/>
    <xdr:pic>
      <xdr:nvPicPr>
        <xdr:cNvPr id="333" name="image46.jpg">
          <a:extLst>
            <a:ext uri="{FF2B5EF4-FFF2-40B4-BE49-F238E27FC236}">
              <a16:creationId xmlns:a16="http://schemas.microsoft.com/office/drawing/2014/main" id="{00000000-0008-0000-0900-00004D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333</xdr:row>
      <xdr:rowOff>0</xdr:rowOff>
    </xdr:from>
    <xdr:ext cx="381000" cy="381000"/>
    <xdr:pic>
      <xdr:nvPicPr>
        <xdr:cNvPr id="334" name="image48.jpg">
          <a:extLst>
            <a:ext uri="{FF2B5EF4-FFF2-40B4-BE49-F238E27FC236}">
              <a16:creationId xmlns:a16="http://schemas.microsoft.com/office/drawing/2014/main" id="{00000000-0008-0000-0900-00004E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334</xdr:row>
      <xdr:rowOff>0</xdr:rowOff>
    </xdr:from>
    <xdr:ext cx="381000" cy="381000"/>
    <xdr:pic>
      <xdr:nvPicPr>
        <xdr:cNvPr id="335" name="image46.jpg">
          <a:extLst>
            <a:ext uri="{FF2B5EF4-FFF2-40B4-BE49-F238E27FC236}">
              <a16:creationId xmlns:a16="http://schemas.microsoft.com/office/drawing/2014/main" id="{00000000-0008-0000-0900-00004F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335</xdr:row>
      <xdr:rowOff>0</xdr:rowOff>
    </xdr:from>
    <xdr:ext cx="381000" cy="381000"/>
    <xdr:pic>
      <xdr:nvPicPr>
        <xdr:cNvPr id="336" name="image48.jpg">
          <a:extLst>
            <a:ext uri="{FF2B5EF4-FFF2-40B4-BE49-F238E27FC236}">
              <a16:creationId xmlns:a16="http://schemas.microsoft.com/office/drawing/2014/main" id="{00000000-0008-0000-0900-000050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336</xdr:row>
      <xdr:rowOff>0</xdr:rowOff>
    </xdr:from>
    <xdr:ext cx="381000" cy="381000"/>
    <xdr:pic>
      <xdr:nvPicPr>
        <xdr:cNvPr id="337" name="image46.jpg">
          <a:extLst>
            <a:ext uri="{FF2B5EF4-FFF2-40B4-BE49-F238E27FC236}">
              <a16:creationId xmlns:a16="http://schemas.microsoft.com/office/drawing/2014/main" id="{00000000-0008-0000-0900-000051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337</xdr:row>
      <xdr:rowOff>0</xdr:rowOff>
    </xdr:from>
    <xdr:ext cx="381000" cy="381000"/>
    <xdr:pic>
      <xdr:nvPicPr>
        <xdr:cNvPr id="338" name="image48.jpg">
          <a:extLst>
            <a:ext uri="{FF2B5EF4-FFF2-40B4-BE49-F238E27FC236}">
              <a16:creationId xmlns:a16="http://schemas.microsoft.com/office/drawing/2014/main" id="{00000000-0008-0000-0900-000052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338</xdr:row>
      <xdr:rowOff>0</xdr:rowOff>
    </xdr:from>
    <xdr:ext cx="381000" cy="381000"/>
    <xdr:pic>
      <xdr:nvPicPr>
        <xdr:cNvPr id="339" name="image46.jpg">
          <a:extLst>
            <a:ext uri="{FF2B5EF4-FFF2-40B4-BE49-F238E27FC236}">
              <a16:creationId xmlns:a16="http://schemas.microsoft.com/office/drawing/2014/main" id="{00000000-0008-0000-0900-000053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339</xdr:row>
      <xdr:rowOff>0</xdr:rowOff>
    </xdr:from>
    <xdr:ext cx="381000" cy="381000"/>
    <xdr:pic>
      <xdr:nvPicPr>
        <xdr:cNvPr id="340" name="image48.jpg">
          <a:extLst>
            <a:ext uri="{FF2B5EF4-FFF2-40B4-BE49-F238E27FC236}">
              <a16:creationId xmlns:a16="http://schemas.microsoft.com/office/drawing/2014/main" id="{00000000-0008-0000-0900-000054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340</xdr:row>
      <xdr:rowOff>0</xdr:rowOff>
    </xdr:from>
    <xdr:ext cx="381000" cy="381000"/>
    <xdr:pic>
      <xdr:nvPicPr>
        <xdr:cNvPr id="341" name="image46.jpg">
          <a:extLst>
            <a:ext uri="{FF2B5EF4-FFF2-40B4-BE49-F238E27FC236}">
              <a16:creationId xmlns:a16="http://schemas.microsoft.com/office/drawing/2014/main" id="{00000000-0008-0000-0900-000055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341</xdr:row>
      <xdr:rowOff>0</xdr:rowOff>
    </xdr:from>
    <xdr:ext cx="381000" cy="381000"/>
    <xdr:pic>
      <xdr:nvPicPr>
        <xdr:cNvPr id="342" name="image22.jpg">
          <a:extLst>
            <a:ext uri="{FF2B5EF4-FFF2-40B4-BE49-F238E27FC236}">
              <a16:creationId xmlns:a16="http://schemas.microsoft.com/office/drawing/2014/main" id="{00000000-0008-0000-0900-00005601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342</xdr:row>
      <xdr:rowOff>0</xdr:rowOff>
    </xdr:from>
    <xdr:ext cx="381000" cy="381000"/>
    <xdr:pic>
      <xdr:nvPicPr>
        <xdr:cNvPr id="343" name="image46.jpg">
          <a:extLst>
            <a:ext uri="{FF2B5EF4-FFF2-40B4-BE49-F238E27FC236}">
              <a16:creationId xmlns:a16="http://schemas.microsoft.com/office/drawing/2014/main" id="{00000000-0008-0000-0900-000057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343</xdr:row>
      <xdr:rowOff>0</xdr:rowOff>
    </xdr:from>
    <xdr:ext cx="381000" cy="381000"/>
    <xdr:pic>
      <xdr:nvPicPr>
        <xdr:cNvPr id="344" name="image48.jpg">
          <a:extLst>
            <a:ext uri="{FF2B5EF4-FFF2-40B4-BE49-F238E27FC236}">
              <a16:creationId xmlns:a16="http://schemas.microsoft.com/office/drawing/2014/main" id="{00000000-0008-0000-0900-000058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344</xdr:row>
      <xdr:rowOff>0</xdr:rowOff>
    </xdr:from>
    <xdr:ext cx="381000" cy="381000"/>
    <xdr:pic>
      <xdr:nvPicPr>
        <xdr:cNvPr id="345" name="image46.jpg">
          <a:extLst>
            <a:ext uri="{FF2B5EF4-FFF2-40B4-BE49-F238E27FC236}">
              <a16:creationId xmlns:a16="http://schemas.microsoft.com/office/drawing/2014/main" id="{00000000-0008-0000-0900-000059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345</xdr:row>
      <xdr:rowOff>0</xdr:rowOff>
    </xdr:from>
    <xdr:ext cx="381000" cy="381000"/>
    <xdr:pic>
      <xdr:nvPicPr>
        <xdr:cNvPr id="346" name="image48.jpg">
          <a:extLst>
            <a:ext uri="{FF2B5EF4-FFF2-40B4-BE49-F238E27FC236}">
              <a16:creationId xmlns:a16="http://schemas.microsoft.com/office/drawing/2014/main" id="{00000000-0008-0000-0900-00005A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346</xdr:row>
      <xdr:rowOff>0</xdr:rowOff>
    </xdr:from>
    <xdr:ext cx="381000" cy="381000"/>
    <xdr:pic>
      <xdr:nvPicPr>
        <xdr:cNvPr id="347" name="image46.jpg">
          <a:extLst>
            <a:ext uri="{FF2B5EF4-FFF2-40B4-BE49-F238E27FC236}">
              <a16:creationId xmlns:a16="http://schemas.microsoft.com/office/drawing/2014/main" id="{00000000-0008-0000-0900-00005B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347</xdr:row>
      <xdr:rowOff>0</xdr:rowOff>
    </xdr:from>
    <xdr:ext cx="381000" cy="381000"/>
    <xdr:pic>
      <xdr:nvPicPr>
        <xdr:cNvPr id="348" name="image48.jpg">
          <a:extLst>
            <a:ext uri="{FF2B5EF4-FFF2-40B4-BE49-F238E27FC236}">
              <a16:creationId xmlns:a16="http://schemas.microsoft.com/office/drawing/2014/main" id="{00000000-0008-0000-0900-00005C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348</xdr:row>
      <xdr:rowOff>0</xdr:rowOff>
    </xdr:from>
    <xdr:ext cx="381000" cy="381000"/>
    <xdr:pic>
      <xdr:nvPicPr>
        <xdr:cNvPr id="349" name="image46.jpg">
          <a:extLst>
            <a:ext uri="{FF2B5EF4-FFF2-40B4-BE49-F238E27FC236}">
              <a16:creationId xmlns:a16="http://schemas.microsoft.com/office/drawing/2014/main" id="{00000000-0008-0000-0900-00005D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349</xdr:row>
      <xdr:rowOff>0</xdr:rowOff>
    </xdr:from>
    <xdr:ext cx="381000" cy="381000"/>
    <xdr:pic>
      <xdr:nvPicPr>
        <xdr:cNvPr id="350" name="image48.jpg">
          <a:extLst>
            <a:ext uri="{FF2B5EF4-FFF2-40B4-BE49-F238E27FC236}">
              <a16:creationId xmlns:a16="http://schemas.microsoft.com/office/drawing/2014/main" id="{00000000-0008-0000-0900-00005E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350</xdr:row>
      <xdr:rowOff>0</xdr:rowOff>
    </xdr:from>
    <xdr:ext cx="381000" cy="381000"/>
    <xdr:pic>
      <xdr:nvPicPr>
        <xdr:cNvPr id="351" name="image46.jpg">
          <a:extLst>
            <a:ext uri="{FF2B5EF4-FFF2-40B4-BE49-F238E27FC236}">
              <a16:creationId xmlns:a16="http://schemas.microsoft.com/office/drawing/2014/main" id="{00000000-0008-0000-0900-00005F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351</xdr:row>
      <xdr:rowOff>0</xdr:rowOff>
    </xdr:from>
    <xdr:ext cx="381000" cy="381000"/>
    <xdr:pic>
      <xdr:nvPicPr>
        <xdr:cNvPr id="352" name="image48.jpg">
          <a:extLst>
            <a:ext uri="{FF2B5EF4-FFF2-40B4-BE49-F238E27FC236}">
              <a16:creationId xmlns:a16="http://schemas.microsoft.com/office/drawing/2014/main" id="{00000000-0008-0000-0900-000060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352</xdr:row>
      <xdr:rowOff>0</xdr:rowOff>
    </xdr:from>
    <xdr:ext cx="381000" cy="381000"/>
    <xdr:pic>
      <xdr:nvPicPr>
        <xdr:cNvPr id="353" name="image46.jpg">
          <a:extLst>
            <a:ext uri="{FF2B5EF4-FFF2-40B4-BE49-F238E27FC236}">
              <a16:creationId xmlns:a16="http://schemas.microsoft.com/office/drawing/2014/main" id="{00000000-0008-0000-0900-000061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353</xdr:row>
      <xdr:rowOff>0</xdr:rowOff>
    </xdr:from>
    <xdr:ext cx="381000" cy="381000"/>
    <xdr:pic>
      <xdr:nvPicPr>
        <xdr:cNvPr id="354" name="image22.jpg">
          <a:extLst>
            <a:ext uri="{FF2B5EF4-FFF2-40B4-BE49-F238E27FC236}">
              <a16:creationId xmlns:a16="http://schemas.microsoft.com/office/drawing/2014/main" id="{00000000-0008-0000-0900-00006201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354</xdr:row>
      <xdr:rowOff>0</xdr:rowOff>
    </xdr:from>
    <xdr:ext cx="381000" cy="381000"/>
    <xdr:pic>
      <xdr:nvPicPr>
        <xdr:cNvPr id="355" name="image46.jpg">
          <a:extLst>
            <a:ext uri="{FF2B5EF4-FFF2-40B4-BE49-F238E27FC236}">
              <a16:creationId xmlns:a16="http://schemas.microsoft.com/office/drawing/2014/main" id="{00000000-0008-0000-0900-000063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355</xdr:row>
      <xdr:rowOff>0</xdr:rowOff>
    </xdr:from>
    <xdr:ext cx="381000" cy="381000"/>
    <xdr:pic>
      <xdr:nvPicPr>
        <xdr:cNvPr id="356" name="image48.jpg">
          <a:extLst>
            <a:ext uri="{FF2B5EF4-FFF2-40B4-BE49-F238E27FC236}">
              <a16:creationId xmlns:a16="http://schemas.microsoft.com/office/drawing/2014/main" id="{00000000-0008-0000-0900-000064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356</xdr:row>
      <xdr:rowOff>0</xdr:rowOff>
    </xdr:from>
    <xdr:ext cx="381000" cy="381000"/>
    <xdr:pic>
      <xdr:nvPicPr>
        <xdr:cNvPr id="357" name="image46.jpg">
          <a:extLst>
            <a:ext uri="{FF2B5EF4-FFF2-40B4-BE49-F238E27FC236}">
              <a16:creationId xmlns:a16="http://schemas.microsoft.com/office/drawing/2014/main" id="{00000000-0008-0000-0900-000065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357</xdr:row>
      <xdr:rowOff>0</xdr:rowOff>
    </xdr:from>
    <xdr:ext cx="381000" cy="381000"/>
    <xdr:pic>
      <xdr:nvPicPr>
        <xdr:cNvPr id="358" name="image48.jpg">
          <a:extLst>
            <a:ext uri="{FF2B5EF4-FFF2-40B4-BE49-F238E27FC236}">
              <a16:creationId xmlns:a16="http://schemas.microsoft.com/office/drawing/2014/main" id="{00000000-0008-0000-0900-000066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358</xdr:row>
      <xdr:rowOff>0</xdr:rowOff>
    </xdr:from>
    <xdr:ext cx="381000" cy="381000"/>
    <xdr:pic>
      <xdr:nvPicPr>
        <xdr:cNvPr id="359" name="image46.jpg">
          <a:extLst>
            <a:ext uri="{FF2B5EF4-FFF2-40B4-BE49-F238E27FC236}">
              <a16:creationId xmlns:a16="http://schemas.microsoft.com/office/drawing/2014/main" id="{00000000-0008-0000-0900-000067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359</xdr:row>
      <xdr:rowOff>0</xdr:rowOff>
    </xdr:from>
    <xdr:ext cx="381000" cy="381000"/>
    <xdr:pic>
      <xdr:nvPicPr>
        <xdr:cNvPr id="360" name="image48.jpg">
          <a:extLst>
            <a:ext uri="{FF2B5EF4-FFF2-40B4-BE49-F238E27FC236}">
              <a16:creationId xmlns:a16="http://schemas.microsoft.com/office/drawing/2014/main" id="{00000000-0008-0000-0900-000068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360</xdr:row>
      <xdr:rowOff>0</xdr:rowOff>
    </xdr:from>
    <xdr:ext cx="381000" cy="381000"/>
    <xdr:pic>
      <xdr:nvPicPr>
        <xdr:cNvPr id="361" name="image46.jpg">
          <a:extLst>
            <a:ext uri="{FF2B5EF4-FFF2-40B4-BE49-F238E27FC236}">
              <a16:creationId xmlns:a16="http://schemas.microsoft.com/office/drawing/2014/main" id="{00000000-0008-0000-0900-000069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361</xdr:row>
      <xdr:rowOff>0</xdr:rowOff>
    </xdr:from>
    <xdr:ext cx="381000" cy="381000"/>
    <xdr:pic>
      <xdr:nvPicPr>
        <xdr:cNvPr id="362" name="image48.jpg">
          <a:extLst>
            <a:ext uri="{FF2B5EF4-FFF2-40B4-BE49-F238E27FC236}">
              <a16:creationId xmlns:a16="http://schemas.microsoft.com/office/drawing/2014/main" id="{00000000-0008-0000-0900-00006A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362</xdr:row>
      <xdr:rowOff>0</xdr:rowOff>
    </xdr:from>
    <xdr:ext cx="381000" cy="381000"/>
    <xdr:pic>
      <xdr:nvPicPr>
        <xdr:cNvPr id="363" name="image46.jpg">
          <a:extLst>
            <a:ext uri="{FF2B5EF4-FFF2-40B4-BE49-F238E27FC236}">
              <a16:creationId xmlns:a16="http://schemas.microsoft.com/office/drawing/2014/main" id="{00000000-0008-0000-0900-00006B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363</xdr:row>
      <xdr:rowOff>0</xdr:rowOff>
    </xdr:from>
    <xdr:ext cx="381000" cy="381000"/>
    <xdr:pic>
      <xdr:nvPicPr>
        <xdr:cNvPr id="364" name="image48.jpg">
          <a:extLst>
            <a:ext uri="{FF2B5EF4-FFF2-40B4-BE49-F238E27FC236}">
              <a16:creationId xmlns:a16="http://schemas.microsoft.com/office/drawing/2014/main" id="{00000000-0008-0000-0900-00006C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364</xdr:row>
      <xdr:rowOff>0</xdr:rowOff>
    </xdr:from>
    <xdr:ext cx="381000" cy="381000"/>
    <xdr:pic>
      <xdr:nvPicPr>
        <xdr:cNvPr id="365" name="image46.jpg">
          <a:extLst>
            <a:ext uri="{FF2B5EF4-FFF2-40B4-BE49-F238E27FC236}">
              <a16:creationId xmlns:a16="http://schemas.microsoft.com/office/drawing/2014/main" id="{00000000-0008-0000-0900-00006D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365</xdr:row>
      <xdr:rowOff>0</xdr:rowOff>
    </xdr:from>
    <xdr:ext cx="381000" cy="381000"/>
    <xdr:pic>
      <xdr:nvPicPr>
        <xdr:cNvPr id="366" name="image22.jpg">
          <a:extLst>
            <a:ext uri="{FF2B5EF4-FFF2-40B4-BE49-F238E27FC236}">
              <a16:creationId xmlns:a16="http://schemas.microsoft.com/office/drawing/2014/main" id="{00000000-0008-0000-0900-00006E01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xdr:col>
      <xdr:colOff>0</xdr:colOff>
      <xdr:row>366</xdr:row>
      <xdr:rowOff>0</xdr:rowOff>
    </xdr:from>
    <xdr:ext cx="381000" cy="381000"/>
    <xdr:pic>
      <xdr:nvPicPr>
        <xdr:cNvPr id="367" name="image46.jpg">
          <a:extLst>
            <a:ext uri="{FF2B5EF4-FFF2-40B4-BE49-F238E27FC236}">
              <a16:creationId xmlns:a16="http://schemas.microsoft.com/office/drawing/2014/main" id="{00000000-0008-0000-0900-00006F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367</xdr:row>
      <xdr:rowOff>0</xdr:rowOff>
    </xdr:from>
    <xdr:ext cx="381000" cy="381000"/>
    <xdr:pic>
      <xdr:nvPicPr>
        <xdr:cNvPr id="368" name="image48.jpg">
          <a:extLst>
            <a:ext uri="{FF2B5EF4-FFF2-40B4-BE49-F238E27FC236}">
              <a16:creationId xmlns:a16="http://schemas.microsoft.com/office/drawing/2014/main" id="{00000000-0008-0000-0900-000070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368</xdr:row>
      <xdr:rowOff>0</xdr:rowOff>
    </xdr:from>
    <xdr:ext cx="381000" cy="381000"/>
    <xdr:pic>
      <xdr:nvPicPr>
        <xdr:cNvPr id="369" name="image46.jpg">
          <a:extLst>
            <a:ext uri="{FF2B5EF4-FFF2-40B4-BE49-F238E27FC236}">
              <a16:creationId xmlns:a16="http://schemas.microsoft.com/office/drawing/2014/main" id="{00000000-0008-0000-0900-000071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369</xdr:row>
      <xdr:rowOff>0</xdr:rowOff>
    </xdr:from>
    <xdr:ext cx="381000" cy="381000"/>
    <xdr:pic>
      <xdr:nvPicPr>
        <xdr:cNvPr id="370" name="image48.jpg">
          <a:extLst>
            <a:ext uri="{FF2B5EF4-FFF2-40B4-BE49-F238E27FC236}">
              <a16:creationId xmlns:a16="http://schemas.microsoft.com/office/drawing/2014/main" id="{00000000-0008-0000-0900-000072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370</xdr:row>
      <xdr:rowOff>0</xdr:rowOff>
    </xdr:from>
    <xdr:ext cx="381000" cy="381000"/>
    <xdr:pic>
      <xdr:nvPicPr>
        <xdr:cNvPr id="371" name="image46.jpg">
          <a:extLst>
            <a:ext uri="{FF2B5EF4-FFF2-40B4-BE49-F238E27FC236}">
              <a16:creationId xmlns:a16="http://schemas.microsoft.com/office/drawing/2014/main" id="{00000000-0008-0000-0900-000073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371</xdr:row>
      <xdr:rowOff>0</xdr:rowOff>
    </xdr:from>
    <xdr:ext cx="381000" cy="381000"/>
    <xdr:pic>
      <xdr:nvPicPr>
        <xdr:cNvPr id="372" name="image48.jpg">
          <a:extLst>
            <a:ext uri="{FF2B5EF4-FFF2-40B4-BE49-F238E27FC236}">
              <a16:creationId xmlns:a16="http://schemas.microsoft.com/office/drawing/2014/main" id="{00000000-0008-0000-0900-000074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372</xdr:row>
      <xdr:rowOff>0</xdr:rowOff>
    </xdr:from>
    <xdr:ext cx="381000" cy="381000"/>
    <xdr:pic>
      <xdr:nvPicPr>
        <xdr:cNvPr id="373" name="image27.jpg">
          <a:extLst>
            <a:ext uri="{FF2B5EF4-FFF2-40B4-BE49-F238E27FC236}">
              <a16:creationId xmlns:a16="http://schemas.microsoft.com/office/drawing/2014/main" id="{00000000-0008-0000-0900-000075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373</xdr:row>
      <xdr:rowOff>0</xdr:rowOff>
    </xdr:from>
    <xdr:ext cx="381000" cy="381000"/>
    <xdr:pic>
      <xdr:nvPicPr>
        <xdr:cNvPr id="374" name="image48.jpg">
          <a:extLst>
            <a:ext uri="{FF2B5EF4-FFF2-40B4-BE49-F238E27FC236}">
              <a16:creationId xmlns:a16="http://schemas.microsoft.com/office/drawing/2014/main" id="{00000000-0008-0000-0900-000076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374</xdr:row>
      <xdr:rowOff>0</xdr:rowOff>
    </xdr:from>
    <xdr:ext cx="381000" cy="381000"/>
    <xdr:pic>
      <xdr:nvPicPr>
        <xdr:cNvPr id="375" name="image46.jpg">
          <a:extLst>
            <a:ext uri="{FF2B5EF4-FFF2-40B4-BE49-F238E27FC236}">
              <a16:creationId xmlns:a16="http://schemas.microsoft.com/office/drawing/2014/main" id="{00000000-0008-0000-0900-000077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375</xdr:row>
      <xdr:rowOff>0</xdr:rowOff>
    </xdr:from>
    <xdr:ext cx="381000" cy="381000"/>
    <xdr:pic>
      <xdr:nvPicPr>
        <xdr:cNvPr id="376" name="image48.jpg">
          <a:extLst>
            <a:ext uri="{FF2B5EF4-FFF2-40B4-BE49-F238E27FC236}">
              <a16:creationId xmlns:a16="http://schemas.microsoft.com/office/drawing/2014/main" id="{00000000-0008-0000-0900-000078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376</xdr:row>
      <xdr:rowOff>0</xdr:rowOff>
    </xdr:from>
    <xdr:ext cx="381000" cy="381000"/>
    <xdr:pic>
      <xdr:nvPicPr>
        <xdr:cNvPr id="377" name="image46.jpg">
          <a:extLst>
            <a:ext uri="{FF2B5EF4-FFF2-40B4-BE49-F238E27FC236}">
              <a16:creationId xmlns:a16="http://schemas.microsoft.com/office/drawing/2014/main" id="{00000000-0008-0000-0900-000079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377</xdr:row>
      <xdr:rowOff>0</xdr:rowOff>
    </xdr:from>
    <xdr:ext cx="381000" cy="381000"/>
    <xdr:pic>
      <xdr:nvPicPr>
        <xdr:cNvPr id="378" name="image27.jpg">
          <a:extLst>
            <a:ext uri="{FF2B5EF4-FFF2-40B4-BE49-F238E27FC236}">
              <a16:creationId xmlns:a16="http://schemas.microsoft.com/office/drawing/2014/main" id="{00000000-0008-0000-0900-00007A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378</xdr:row>
      <xdr:rowOff>0</xdr:rowOff>
    </xdr:from>
    <xdr:ext cx="381000" cy="381000"/>
    <xdr:pic>
      <xdr:nvPicPr>
        <xdr:cNvPr id="379" name="image48.jpg">
          <a:extLst>
            <a:ext uri="{FF2B5EF4-FFF2-40B4-BE49-F238E27FC236}">
              <a16:creationId xmlns:a16="http://schemas.microsoft.com/office/drawing/2014/main" id="{00000000-0008-0000-0900-00007B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379</xdr:row>
      <xdr:rowOff>0</xdr:rowOff>
    </xdr:from>
    <xdr:ext cx="381000" cy="381000"/>
    <xdr:pic>
      <xdr:nvPicPr>
        <xdr:cNvPr id="380" name="image46.jpg">
          <a:extLst>
            <a:ext uri="{FF2B5EF4-FFF2-40B4-BE49-F238E27FC236}">
              <a16:creationId xmlns:a16="http://schemas.microsoft.com/office/drawing/2014/main" id="{00000000-0008-0000-0900-00007C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380</xdr:row>
      <xdr:rowOff>0</xdr:rowOff>
    </xdr:from>
    <xdr:ext cx="381000" cy="381000"/>
    <xdr:pic>
      <xdr:nvPicPr>
        <xdr:cNvPr id="381" name="image48.jpg">
          <a:extLst>
            <a:ext uri="{FF2B5EF4-FFF2-40B4-BE49-F238E27FC236}">
              <a16:creationId xmlns:a16="http://schemas.microsoft.com/office/drawing/2014/main" id="{00000000-0008-0000-0900-00007D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381</xdr:row>
      <xdr:rowOff>0</xdr:rowOff>
    </xdr:from>
    <xdr:ext cx="381000" cy="381000"/>
    <xdr:pic>
      <xdr:nvPicPr>
        <xdr:cNvPr id="382" name="image46.jpg">
          <a:extLst>
            <a:ext uri="{FF2B5EF4-FFF2-40B4-BE49-F238E27FC236}">
              <a16:creationId xmlns:a16="http://schemas.microsoft.com/office/drawing/2014/main" id="{00000000-0008-0000-0900-00007E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382</xdr:row>
      <xdr:rowOff>0</xdr:rowOff>
    </xdr:from>
    <xdr:ext cx="381000" cy="381000"/>
    <xdr:pic>
      <xdr:nvPicPr>
        <xdr:cNvPr id="383" name="image27.jpg">
          <a:extLst>
            <a:ext uri="{FF2B5EF4-FFF2-40B4-BE49-F238E27FC236}">
              <a16:creationId xmlns:a16="http://schemas.microsoft.com/office/drawing/2014/main" id="{00000000-0008-0000-0900-00007F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383</xdr:row>
      <xdr:rowOff>0</xdr:rowOff>
    </xdr:from>
    <xdr:ext cx="381000" cy="381000"/>
    <xdr:pic>
      <xdr:nvPicPr>
        <xdr:cNvPr id="384" name="image48.jpg">
          <a:extLst>
            <a:ext uri="{FF2B5EF4-FFF2-40B4-BE49-F238E27FC236}">
              <a16:creationId xmlns:a16="http://schemas.microsoft.com/office/drawing/2014/main" id="{00000000-0008-0000-0900-000080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384</xdr:row>
      <xdr:rowOff>0</xdr:rowOff>
    </xdr:from>
    <xdr:ext cx="381000" cy="381000"/>
    <xdr:pic>
      <xdr:nvPicPr>
        <xdr:cNvPr id="385" name="image46.jpg">
          <a:extLst>
            <a:ext uri="{FF2B5EF4-FFF2-40B4-BE49-F238E27FC236}">
              <a16:creationId xmlns:a16="http://schemas.microsoft.com/office/drawing/2014/main" id="{00000000-0008-0000-0900-000081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385</xdr:row>
      <xdr:rowOff>0</xdr:rowOff>
    </xdr:from>
    <xdr:ext cx="381000" cy="381000"/>
    <xdr:pic>
      <xdr:nvPicPr>
        <xdr:cNvPr id="386" name="image48.jpg">
          <a:extLst>
            <a:ext uri="{FF2B5EF4-FFF2-40B4-BE49-F238E27FC236}">
              <a16:creationId xmlns:a16="http://schemas.microsoft.com/office/drawing/2014/main" id="{00000000-0008-0000-0900-000082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386</xdr:row>
      <xdr:rowOff>0</xdr:rowOff>
    </xdr:from>
    <xdr:ext cx="381000" cy="381000"/>
    <xdr:pic>
      <xdr:nvPicPr>
        <xdr:cNvPr id="387" name="image46.jpg">
          <a:extLst>
            <a:ext uri="{FF2B5EF4-FFF2-40B4-BE49-F238E27FC236}">
              <a16:creationId xmlns:a16="http://schemas.microsoft.com/office/drawing/2014/main" id="{00000000-0008-0000-0900-000083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387</xdr:row>
      <xdr:rowOff>0</xdr:rowOff>
    </xdr:from>
    <xdr:ext cx="381000" cy="381000"/>
    <xdr:pic>
      <xdr:nvPicPr>
        <xdr:cNvPr id="388" name="image27.jpg">
          <a:extLst>
            <a:ext uri="{FF2B5EF4-FFF2-40B4-BE49-F238E27FC236}">
              <a16:creationId xmlns:a16="http://schemas.microsoft.com/office/drawing/2014/main" id="{00000000-0008-0000-0900-000084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388</xdr:row>
      <xdr:rowOff>0</xdr:rowOff>
    </xdr:from>
    <xdr:ext cx="381000" cy="381000"/>
    <xdr:pic>
      <xdr:nvPicPr>
        <xdr:cNvPr id="389" name="image48.jpg">
          <a:extLst>
            <a:ext uri="{FF2B5EF4-FFF2-40B4-BE49-F238E27FC236}">
              <a16:creationId xmlns:a16="http://schemas.microsoft.com/office/drawing/2014/main" id="{00000000-0008-0000-0900-000085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389</xdr:row>
      <xdr:rowOff>0</xdr:rowOff>
    </xdr:from>
    <xdr:ext cx="381000" cy="381000"/>
    <xdr:pic>
      <xdr:nvPicPr>
        <xdr:cNvPr id="390" name="image46.jpg">
          <a:extLst>
            <a:ext uri="{FF2B5EF4-FFF2-40B4-BE49-F238E27FC236}">
              <a16:creationId xmlns:a16="http://schemas.microsoft.com/office/drawing/2014/main" id="{00000000-0008-0000-0900-000086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390</xdr:row>
      <xdr:rowOff>0</xdr:rowOff>
    </xdr:from>
    <xdr:ext cx="381000" cy="381000"/>
    <xdr:pic>
      <xdr:nvPicPr>
        <xdr:cNvPr id="391" name="image48.jpg">
          <a:extLst>
            <a:ext uri="{FF2B5EF4-FFF2-40B4-BE49-F238E27FC236}">
              <a16:creationId xmlns:a16="http://schemas.microsoft.com/office/drawing/2014/main" id="{00000000-0008-0000-0900-000087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391</xdr:row>
      <xdr:rowOff>0</xdr:rowOff>
    </xdr:from>
    <xdr:ext cx="381000" cy="381000"/>
    <xdr:pic>
      <xdr:nvPicPr>
        <xdr:cNvPr id="392" name="image46.jpg">
          <a:extLst>
            <a:ext uri="{FF2B5EF4-FFF2-40B4-BE49-F238E27FC236}">
              <a16:creationId xmlns:a16="http://schemas.microsoft.com/office/drawing/2014/main" id="{00000000-0008-0000-0900-000088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392</xdr:row>
      <xdr:rowOff>0</xdr:rowOff>
    </xdr:from>
    <xdr:ext cx="381000" cy="381000"/>
    <xdr:pic>
      <xdr:nvPicPr>
        <xdr:cNvPr id="393" name="image27.jpg">
          <a:extLst>
            <a:ext uri="{FF2B5EF4-FFF2-40B4-BE49-F238E27FC236}">
              <a16:creationId xmlns:a16="http://schemas.microsoft.com/office/drawing/2014/main" id="{00000000-0008-0000-0900-000089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393</xdr:row>
      <xdr:rowOff>0</xdr:rowOff>
    </xdr:from>
    <xdr:ext cx="381000" cy="381000"/>
    <xdr:pic>
      <xdr:nvPicPr>
        <xdr:cNvPr id="394" name="image48.jpg">
          <a:extLst>
            <a:ext uri="{FF2B5EF4-FFF2-40B4-BE49-F238E27FC236}">
              <a16:creationId xmlns:a16="http://schemas.microsoft.com/office/drawing/2014/main" id="{00000000-0008-0000-0900-00008A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394</xdr:row>
      <xdr:rowOff>0</xdr:rowOff>
    </xdr:from>
    <xdr:ext cx="381000" cy="381000"/>
    <xdr:pic>
      <xdr:nvPicPr>
        <xdr:cNvPr id="395" name="image46.jpg">
          <a:extLst>
            <a:ext uri="{FF2B5EF4-FFF2-40B4-BE49-F238E27FC236}">
              <a16:creationId xmlns:a16="http://schemas.microsoft.com/office/drawing/2014/main" id="{00000000-0008-0000-0900-00008B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395</xdr:row>
      <xdr:rowOff>0</xdr:rowOff>
    </xdr:from>
    <xdr:ext cx="381000" cy="381000"/>
    <xdr:pic>
      <xdr:nvPicPr>
        <xdr:cNvPr id="396" name="image48.jpg">
          <a:extLst>
            <a:ext uri="{FF2B5EF4-FFF2-40B4-BE49-F238E27FC236}">
              <a16:creationId xmlns:a16="http://schemas.microsoft.com/office/drawing/2014/main" id="{00000000-0008-0000-0900-00008C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396</xdr:row>
      <xdr:rowOff>0</xdr:rowOff>
    </xdr:from>
    <xdr:ext cx="381000" cy="381000"/>
    <xdr:pic>
      <xdr:nvPicPr>
        <xdr:cNvPr id="397" name="image46.jpg">
          <a:extLst>
            <a:ext uri="{FF2B5EF4-FFF2-40B4-BE49-F238E27FC236}">
              <a16:creationId xmlns:a16="http://schemas.microsoft.com/office/drawing/2014/main" id="{00000000-0008-0000-0900-00008D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397</xdr:row>
      <xdr:rowOff>0</xdr:rowOff>
    </xdr:from>
    <xdr:ext cx="381000" cy="381000"/>
    <xdr:pic>
      <xdr:nvPicPr>
        <xdr:cNvPr id="398" name="image27.jpg">
          <a:extLst>
            <a:ext uri="{FF2B5EF4-FFF2-40B4-BE49-F238E27FC236}">
              <a16:creationId xmlns:a16="http://schemas.microsoft.com/office/drawing/2014/main" id="{00000000-0008-0000-0900-00008E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398</xdr:row>
      <xdr:rowOff>0</xdr:rowOff>
    </xdr:from>
    <xdr:ext cx="381000" cy="381000"/>
    <xdr:pic>
      <xdr:nvPicPr>
        <xdr:cNvPr id="399" name="image48.jpg">
          <a:extLst>
            <a:ext uri="{FF2B5EF4-FFF2-40B4-BE49-F238E27FC236}">
              <a16:creationId xmlns:a16="http://schemas.microsoft.com/office/drawing/2014/main" id="{00000000-0008-0000-0900-00008F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399</xdr:row>
      <xdr:rowOff>0</xdr:rowOff>
    </xdr:from>
    <xdr:ext cx="381000" cy="381000"/>
    <xdr:pic>
      <xdr:nvPicPr>
        <xdr:cNvPr id="400" name="image46.jpg">
          <a:extLst>
            <a:ext uri="{FF2B5EF4-FFF2-40B4-BE49-F238E27FC236}">
              <a16:creationId xmlns:a16="http://schemas.microsoft.com/office/drawing/2014/main" id="{00000000-0008-0000-0900-000090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400</xdr:row>
      <xdr:rowOff>0</xdr:rowOff>
    </xdr:from>
    <xdr:ext cx="381000" cy="381000"/>
    <xdr:pic>
      <xdr:nvPicPr>
        <xdr:cNvPr id="401" name="image48.jpg">
          <a:extLst>
            <a:ext uri="{FF2B5EF4-FFF2-40B4-BE49-F238E27FC236}">
              <a16:creationId xmlns:a16="http://schemas.microsoft.com/office/drawing/2014/main" id="{00000000-0008-0000-0900-000091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401</xdr:row>
      <xdr:rowOff>0</xdr:rowOff>
    </xdr:from>
    <xdr:ext cx="381000" cy="381000"/>
    <xdr:pic>
      <xdr:nvPicPr>
        <xdr:cNvPr id="402" name="image46.jpg">
          <a:extLst>
            <a:ext uri="{FF2B5EF4-FFF2-40B4-BE49-F238E27FC236}">
              <a16:creationId xmlns:a16="http://schemas.microsoft.com/office/drawing/2014/main" id="{00000000-0008-0000-0900-000092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402</xdr:row>
      <xdr:rowOff>0</xdr:rowOff>
    </xdr:from>
    <xdr:ext cx="381000" cy="381000"/>
    <xdr:pic>
      <xdr:nvPicPr>
        <xdr:cNvPr id="403" name="image27.jpg">
          <a:extLst>
            <a:ext uri="{FF2B5EF4-FFF2-40B4-BE49-F238E27FC236}">
              <a16:creationId xmlns:a16="http://schemas.microsoft.com/office/drawing/2014/main" id="{00000000-0008-0000-0900-000093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403</xdr:row>
      <xdr:rowOff>0</xdr:rowOff>
    </xdr:from>
    <xdr:ext cx="381000" cy="381000"/>
    <xdr:pic>
      <xdr:nvPicPr>
        <xdr:cNvPr id="404" name="image48.jpg">
          <a:extLst>
            <a:ext uri="{FF2B5EF4-FFF2-40B4-BE49-F238E27FC236}">
              <a16:creationId xmlns:a16="http://schemas.microsoft.com/office/drawing/2014/main" id="{00000000-0008-0000-0900-000094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404</xdr:row>
      <xdr:rowOff>0</xdr:rowOff>
    </xdr:from>
    <xdr:ext cx="381000" cy="381000"/>
    <xdr:pic>
      <xdr:nvPicPr>
        <xdr:cNvPr id="405" name="image46.jpg">
          <a:extLst>
            <a:ext uri="{FF2B5EF4-FFF2-40B4-BE49-F238E27FC236}">
              <a16:creationId xmlns:a16="http://schemas.microsoft.com/office/drawing/2014/main" id="{00000000-0008-0000-0900-000095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405</xdr:row>
      <xdr:rowOff>0</xdr:rowOff>
    </xdr:from>
    <xdr:ext cx="381000" cy="381000"/>
    <xdr:pic>
      <xdr:nvPicPr>
        <xdr:cNvPr id="406" name="image48.jpg">
          <a:extLst>
            <a:ext uri="{FF2B5EF4-FFF2-40B4-BE49-F238E27FC236}">
              <a16:creationId xmlns:a16="http://schemas.microsoft.com/office/drawing/2014/main" id="{00000000-0008-0000-0900-000096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406</xdr:row>
      <xdr:rowOff>0</xdr:rowOff>
    </xdr:from>
    <xdr:ext cx="381000" cy="381000"/>
    <xdr:pic>
      <xdr:nvPicPr>
        <xdr:cNvPr id="407" name="image46.jpg">
          <a:extLst>
            <a:ext uri="{FF2B5EF4-FFF2-40B4-BE49-F238E27FC236}">
              <a16:creationId xmlns:a16="http://schemas.microsoft.com/office/drawing/2014/main" id="{00000000-0008-0000-0900-000097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407</xdr:row>
      <xdr:rowOff>0</xdr:rowOff>
    </xdr:from>
    <xdr:ext cx="381000" cy="381000"/>
    <xdr:pic>
      <xdr:nvPicPr>
        <xdr:cNvPr id="408" name="image27.jpg">
          <a:extLst>
            <a:ext uri="{FF2B5EF4-FFF2-40B4-BE49-F238E27FC236}">
              <a16:creationId xmlns:a16="http://schemas.microsoft.com/office/drawing/2014/main" id="{00000000-0008-0000-0900-000098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408</xdr:row>
      <xdr:rowOff>0</xdr:rowOff>
    </xdr:from>
    <xdr:ext cx="381000" cy="381000"/>
    <xdr:pic>
      <xdr:nvPicPr>
        <xdr:cNvPr id="409" name="image48.jpg">
          <a:extLst>
            <a:ext uri="{FF2B5EF4-FFF2-40B4-BE49-F238E27FC236}">
              <a16:creationId xmlns:a16="http://schemas.microsoft.com/office/drawing/2014/main" id="{00000000-0008-0000-0900-000099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409</xdr:row>
      <xdr:rowOff>0</xdr:rowOff>
    </xdr:from>
    <xdr:ext cx="381000" cy="381000"/>
    <xdr:pic>
      <xdr:nvPicPr>
        <xdr:cNvPr id="410" name="image46.jpg">
          <a:extLst>
            <a:ext uri="{FF2B5EF4-FFF2-40B4-BE49-F238E27FC236}">
              <a16:creationId xmlns:a16="http://schemas.microsoft.com/office/drawing/2014/main" id="{00000000-0008-0000-0900-00009A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410</xdr:row>
      <xdr:rowOff>0</xdr:rowOff>
    </xdr:from>
    <xdr:ext cx="381000" cy="381000"/>
    <xdr:pic>
      <xdr:nvPicPr>
        <xdr:cNvPr id="411" name="image48.jpg">
          <a:extLst>
            <a:ext uri="{FF2B5EF4-FFF2-40B4-BE49-F238E27FC236}">
              <a16:creationId xmlns:a16="http://schemas.microsoft.com/office/drawing/2014/main" id="{00000000-0008-0000-0900-00009B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411</xdr:row>
      <xdr:rowOff>0</xdr:rowOff>
    </xdr:from>
    <xdr:ext cx="381000" cy="381000"/>
    <xdr:pic>
      <xdr:nvPicPr>
        <xdr:cNvPr id="412" name="image46.jpg">
          <a:extLst>
            <a:ext uri="{FF2B5EF4-FFF2-40B4-BE49-F238E27FC236}">
              <a16:creationId xmlns:a16="http://schemas.microsoft.com/office/drawing/2014/main" id="{00000000-0008-0000-0900-00009C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412</xdr:row>
      <xdr:rowOff>0</xdr:rowOff>
    </xdr:from>
    <xdr:ext cx="381000" cy="381000"/>
    <xdr:pic>
      <xdr:nvPicPr>
        <xdr:cNvPr id="413" name="image27.jpg">
          <a:extLst>
            <a:ext uri="{FF2B5EF4-FFF2-40B4-BE49-F238E27FC236}">
              <a16:creationId xmlns:a16="http://schemas.microsoft.com/office/drawing/2014/main" id="{00000000-0008-0000-0900-00009D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413</xdr:row>
      <xdr:rowOff>0</xdr:rowOff>
    </xdr:from>
    <xdr:ext cx="381000" cy="381000"/>
    <xdr:pic>
      <xdr:nvPicPr>
        <xdr:cNvPr id="414" name="image48.jpg">
          <a:extLst>
            <a:ext uri="{FF2B5EF4-FFF2-40B4-BE49-F238E27FC236}">
              <a16:creationId xmlns:a16="http://schemas.microsoft.com/office/drawing/2014/main" id="{00000000-0008-0000-0900-00009E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414</xdr:row>
      <xdr:rowOff>0</xdr:rowOff>
    </xdr:from>
    <xdr:ext cx="381000" cy="381000"/>
    <xdr:pic>
      <xdr:nvPicPr>
        <xdr:cNvPr id="415" name="image46.jpg">
          <a:extLst>
            <a:ext uri="{FF2B5EF4-FFF2-40B4-BE49-F238E27FC236}">
              <a16:creationId xmlns:a16="http://schemas.microsoft.com/office/drawing/2014/main" id="{00000000-0008-0000-0900-00009F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415</xdr:row>
      <xdr:rowOff>0</xdr:rowOff>
    </xdr:from>
    <xdr:ext cx="381000" cy="381000"/>
    <xdr:pic>
      <xdr:nvPicPr>
        <xdr:cNvPr id="416" name="image48.jpg">
          <a:extLst>
            <a:ext uri="{FF2B5EF4-FFF2-40B4-BE49-F238E27FC236}">
              <a16:creationId xmlns:a16="http://schemas.microsoft.com/office/drawing/2014/main" id="{00000000-0008-0000-0900-0000A0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416</xdr:row>
      <xdr:rowOff>0</xdr:rowOff>
    </xdr:from>
    <xdr:ext cx="381000" cy="381000"/>
    <xdr:pic>
      <xdr:nvPicPr>
        <xdr:cNvPr id="417" name="image46.jpg">
          <a:extLst>
            <a:ext uri="{FF2B5EF4-FFF2-40B4-BE49-F238E27FC236}">
              <a16:creationId xmlns:a16="http://schemas.microsoft.com/office/drawing/2014/main" id="{00000000-0008-0000-0900-0000A101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417</xdr:row>
      <xdr:rowOff>0</xdr:rowOff>
    </xdr:from>
    <xdr:ext cx="381000" cy="381000"/>
    <xdr:pic>
      <xdr:nvPicPr>
        <xdr:cNvPr id="418" name="image27.jpg">
          <a:extLst>
            <a:ext uri="{FF2B5EF4-FFF2-40B4-BE49-F238E27FC236}">
              <a16:creationId xmlns:a16="http://schemas.microsoft.com/office/drawing/2014/main" id="{00000000-0008-0000-0900-0000A2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418</xdr:row>
      <xdr:rowOff>0</xdr:rowOff>
    </xdr:from>
    <xdr:ext cx="381000" cy="381000"/>
    <xdr:pic>
      <xdr:nvPicPr>
        <xdr:cNvPr id="419" name="image11.jpg">
          <a:extLst>
            <a:ext uri="{FF2B5EF4-FFF2-40B4-BE49-F238E27FC236}">
              <a16:creationId xmlns:a16="http://schemas.microsoft.com/office/drawing/2014/main" id="{00000000-0008-0000-0900-0000A3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419</xdr:row>
      <xdr:rowOff>0</xdr:rowOff>
    </xdr:from>
    <xdr:ext cx="381000" cy="381000"/>
    <xdr:pic>
      <xdr:nvPicPr>
        <xdr:cNvPr id="420" name="image153.png">
          <a:extLst>
            <a:ext uri="{FF2B5EF4-FFF2-40B4-BE49-F238E27FC236}">
              <a16:creationId xmlns:a16="http://schemas.microsoft.com/office/drawing/2014/main" id="{00000000-0008-0000-0900-0000A401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420</xdr:row>
      <xdr:rowOff>0</xdr:rowOff>
    </xdr:from>
    <xdr:ext cx="381000" cy="381000"/>
    <xdr:pic>
      <xdr:nvPicPr>
        <xdr:cNvPr id="421" name="image21.jpg">
          <a:extLst>
            <a:ext uri="{FF2B5EF4-FFF2-40B4-BE49-F238E27FC236}">
              <a16:creationId xmlns:a16="http://schemas.microsoft.com/office/drawing/2014/main" id="{00000000-0008-0000-0900-0000A5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421</xdr:row>
      <xdr:rowOff>0</xdr:rowOff>
    </xdr:from>
    <xdr:ext cx="381000" cy="381000"/>
    <xdr:pic>
      <xdr:nvPicPr>
        <xdr:cNvPr id="422" name="image43.jpg">
          <a:extLst>
            <a:ext uri="{FF2B5EF4-FFF2-40B4-BE49-F238E27FC236}">
              <a16:creationId xmlns:a16="http://schemas.microsoft.com/office/drawing/2014/main" id="{00000000-0008-0000-0900-0000A6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422</xdr:row>
      <xdr:rowOff>0</xdr:rowOff>
    </xdr:from>
    <xdr:ext cx="381000" cy="381000"/>
    <xdr:pic>
      <xdr:nvPicPr>
        <xdr:cNvPr id="423" name="image21.jpg">
          <a:extLst>
            <a:ext uri="{FF2B5EF4-FFF2-40B4-BE49-F238E27FC236}">
              <a16:creationId xmlns:a16="http://schemas.microsoft.com/office/drawing/2014/main" id="{00000000-0008-0000-0900-0000A7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423</xdr:row>
      <xdr:rowOff>0</xdr:rowOff>
    </xdr:from>
    <xdr:ext cx="381000" cy="381000"/>
    <xdr:pic>
      <xdr:nvPicPr>
        <xdr:cNvPr id="424" name="image43.jpg">
          <a:extLst>
            <a:ext uri="{FF2B5EF4-FFF2-40B4-BE49-F238E27FC236}">
              <a16:creationId xmlns:a16="http://schemas.microsoft.com/office/drawing/2014/main" id="{00000000-0008-0000-0900-0000A8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424</xdr:row>
      <xdr:rowOff>0</xdr:rowOff>
    </xdr:from>
    <xdr:ext cx="381000" cy="381000"/>
    <xdr:pic>
      <xdr:nvPicPr>
        <xdr:cNvPr id="425" name="image21.jpg">
          <a:extLst>
            <a:ext uri="{FF2B5EF4-FFF2-40B4-BE49-F238E27FC236}">
              <a16:creationId xmlns:a16="http://schemas.microsoft.com/office/drawing/2014/main" id="{00000000-0008-0000-0900-0000A9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425</xdr:row>
      <xdr:rowOff>0</xdr:rowOff>
    </xdr:from>
    <xdr:ext cx="381000" cy="381000"/>
    <xdr:pic>
      <xdr:nvPicPr>
        <xdr:cNvPr id="426" name="image43.jpg">
          <a:extLst>
            <a:ext uri="{FF2B5EF4-FFF2-40B4-BE49-F238E27FC236}">
              <a16:creationId xmlns:a16="http://schemas.microsoft.com/office/drawing/2014/main" id="{00000000-0008-0000-0900-0000AA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426</xdr:row>
      <xdr:rowOff>0</xdr:rowOff>
    </xdr:from>
    <xdr:ext cx="381000" cy="381000"/>
    <xdr:pic>
      <xdr:nvPicPr>
        <xdr:cNvPr id="427" name="image21.jpg">
          <a:extLst>
            <a:ext uri="{FF2B5EF4-FFF2-40B4-BE49-F238E27FC236}">
              <a16:creationId xmlns:a16="http://schemas.microsoft.com/office/drawing/2014/main" id="{00000000-0008-0000-0900-0000AB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427</xdr:row>
      <xdr:rowOff>0</xdr:rowOff>
    </xdr:from>
    <xdr:ext cx="381000" cy="381000"/>
    <xdr:pic>
      <xdr:nvPicPr>
        <xdr:cNvPr id="428" name="image43.jpg">
          <a:extLst>
            <a:ext uri="{FF2B5EF4-FFF2-40B4-BE49-F238E27FC236}">
              <a16:creationId xmlns:a16="http://schemas.microsoft.com/office/drawing/2014/main" id="{00000000-0008-0000-0900-0000AC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428</xdr:row>
      <xdr:rowOff>0</xdr:rowOff>
    </xdr:from>
    <xdr:ext cx="381000" cy="381000"/>
    <xdr:pic>
      <xdr:nvPicPr>
        <xdr:cNvPr id="429" name="image21.jpg">
          <a:extLst>
            <a:ext uri="{FF2B5EF4-FFF2-40B4-BE49-F238E27FC236}">
              <a16:creationId xmlns:a16="http://schemas.microsoft.com/office/drawing/2014/main" id="{00000000-0008-0000-0900-0000AD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429</xdr:row>
      <xdr:rowOff>0</xdr:rowOff>
    </xdr:from>
    <xdr:ext cx="381000" cy="381000"/>
    <xdr:pic>
      <xdr:nvPicPr>
        <xdr:cNvPr id="430" name="image43.jpg">
          <a:extLst>
            <a:ext uri="{FF2B5EF4-FFF2-40B4-BE49-F238E27FC236}">
              <a16:creationId xmlns:a16="http://schemas.microsoft.com/office/drawing/2014/main" id="{00000000-0008-0000-0900-0000AE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430</xdr:row>
      <xdr:rowOff>0</xdr:rowOff>
    </xdr:from>
    <xdr:ext cx="381000" cy="381000"/>
    <xdr:pic>
      <xdr:nvPicPr>
        <xdr:cNvPr id="431" name="image21.jpg">
          <a:extLst>
            <a:ext uri="{FF2B5EF4-FFF2-40B4-BE49-F238E27FC236}">
              <a16:creationId xmlns:a16="http://schemas.microsoft.com/office/drawing/2014/main" id="{00000000-0008-0000-0900-0000AF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431</xdr:row>
      <xdr:rowOff>0</xdr:rowOff>
    </xdr:from>
    <xdr:ext cx="381000" cy="381000"/>
    <xdr:pic>
      <xdr:nvPicPr>
        <xdr:cNvPr id="432" name="image43.jpg">
          <a:extLst>
            <a:ext uri="{FF2B5EF4-FFF2-40B4-BE49-F238E27FC236}">
              <a16:creationId xmlns:a16="http://schemas.microsoft.com/office/drawing/2014/main" id="{00000000-0008-0000-0900-0000B0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432</xdr:row>
      <xdr:rowOff>0</xdr:rowOff>
    </xdr:from>
    <xdr:ext cx="381000" cy="381000"/>
    <xdr:pic>
      <xdr:nvPicPr>
        <xdr:cNvPr id="433" name="image11.jpg">
          <a:extLst>
            <a:ext uri="{FF2B5EF4-FFF2-40B4-BE49-F238E27FC236}">
              <a16:creationId xmlns:a16="http://schemas.microsoft.com/office/drawing/2014/main" id="{00000000-0008-0000-0900-0000B1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433</xdr:row>
      <xdr:rowOff>0</xdr:rowOff>
    </xdr:from>
    <xdr:ext cx="381000" cy="381000"/>
    <xdr:pic>
      <xdr:nvPicPr>
        <xdr:cNvPr id="434" name="image21.jpg">
          <a:extLst>
            <a:ext uri="{FF2B5EF4-FFF2-40B4-BE49-F238E27FC236}">
              <a16:creationId xmlns:a16="http://schemas.microsoft.com/office/drawing/2014/main" id="{00000000-0008-0000-0900-0000B2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434</xdr:row>
      <xdr:rowOff>0</xdr:rowOff>
    </xdr:from>
    <xdr:ext cx="381000" cy="381000"/>
    <xdr:pic>
      <xdr:nvPicPr>
        <xdr:cNvPr id="435" name="image43.jpg">
          <a:extLst>
            <a:ext uri="{FF2B5EF4-FFF2-40B4-BE49-F238E27FC236}">
              <a16:creationId xmlns:a16="http://schemas.microsoft.com/office/drawing/2014/main" id="{00000000-0008-0000-0900-0000B3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435</xdr:row>
      <xdr:rowOff>0</xdr:rowOff>
    </xdr:from>
    <xdr:ext cx="381000" cy="381000"/>
    <xdr:pic>
      <xdr:nvPicPr>
        <xdr:cNvPr id="436" name="image21.jpg">
          <a:extLst>
            <a:ext uri="{FF2B5EF4-FFF2-40B4-BE49-F238E27FC236}">
              <a16:creationId xmlns:a16="http://schemas.microsoft.com/office/drawing/2014/main" id="{00000000-0008-0000-0900-0000B4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436</xdr:row>
      <xdr:rowOff>0</xdr:rowOff>
    </xdr:from>
    <xdr:ext cx="381000" cy="381000"/>
    <xdr:pic>
      <xdr:nvPicPr>
        <xdr:cNvPr id="437" name="image43.jpg">
          <a:extLst>
            <a:ext uri="{FF2B5EF4-FFF2-40B4-BE49-F238E27FC236}">
              <a16:creationId xmlns:a16="http://schemas.microsoft.com/office/drawing/2014/main" id="{00000000-0008-0000-0900-0000B5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437</xdr:row>
      <xdr:rowOff>0</xdr:rowOff>
    </xdr:from>
    <xdr:ext cx="381000" cy="381000"/>
    <xdr:pic>
      <xdr:nvPicPr>
        <xdr:cNvPr id="438" name="image21.jpg">
          <a:extLst>
            <a:ext uri="{FF2B5EF4-FFF2-40B4-BE49-F238E27FC236}">
              <a16:creationId xmlns:a16="http://schemas.microsoft.com/office/drawing/2014/main" id="{00000000-0008-0000-0900-0000B6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438</xdr:row>
      <xdr:rowOff>0</xdr:rowOff>
    </xdr:from>
    <xdr:ext cx="381000" cy="381000"/>
    <xdr:pic>
      <xdr:nvPicPr>
        <xdr:cNvPr id="439" name="image43.jpg">
          <a:extLst>
            <a:ext uri="{FF2B5EF4-FFF2-40B4-BE49-F238E27FC236}">
              <a16:creationId xmlns:a16="http://schemas.microsoft.com/office/drawing/2014/main" id="{00000000-0008-0000-0900-0000B7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439</xdr:row>
      <xdr:rowOff>0</xdr:rowOff>
    </xdr:from>
    <xdr:ext cx="381000" cy="381000"/>
    <xdr:pic>
      <xdr:nvPicPr>
        <xdr:cNvPr id="440" name="image21.jpg">
          <a:extLst>
            <a:ext uri="{FF2B5EF4-FFF2-40B4-BE49-F238E27FC236}">
              <a16:creationId xmlns:a16="http://schemas.microsoft.com/office/drawing/2014/main" id="{00000000-0008-0000-0900-0000B8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440</xdr:row>
      <xdr:rowOff>0</xdr:rowOff>
    </xdr:from>
    <xdr:ext cx="381000" cy="381000"/>
    <xdr:pic>
      <xdr:nvPicPr>
        <xdr:cNvPr id="441" name="image43.jpg">
          <a:extLst>
            <a:ext uri="{FF2B5EF4-FFF2-40B4-BE49-F238E27FC236}">
              <a16:creationId xmlns:a16="http://schemas.microsoft.com/office/drawing/2014/main" id="{00000000-0008-0000-0900-0000B9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441</xdr:row>
      <xdr:rowOff>0</xdr:rowOff>
    </xdr:from>
    <xdr:ext cx="381000" cy="381000"/>
    <xdr:pic>
      <xdr:nvPicPr>
        <xdr:cNvPr id="442" name="image21.jpg">
          <a:extLst>
            <a:ext uri="{FF2B5EF4-FFF2-40B4-BE49-F238E27FC236}">
              <a16:creationId xmlns:a16="http://schemas.microsoft.com/office/drawing/2014/main" id="{00000000-0008-0000-0900-0000BA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442</xdr:row>
      <xdr:rowOff>0</xdr:rowOff>
    </xdr:from>
    <xdr:ext cx="381000" cy="381000"/>
    <xdr:pic>
      <xdr:nvPicPr>
        <xdr:cNvPr id="443" name="image43.jpg">
          <a:extLst>
            <a:ext uri="{FF2B5EF4-FFF2-40B4-BE49-F238E27FC236}">
              <a16:creationId xmlns:a16="http://schemas.microsoft.com/office/drawing/2014/main" id="{00000000-0008-0000-0900-0000BB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443</xdr:row>
      <xdr:rowOff>0</xdr:rowOff>
    </xdr:from>
    <xdr:ext cx="381000" cy="381000"/>
    <xdr:pic>
      <xdr:nvPicPr>
        <xdr:cNvPr id="444" name="image21.jpg">
          <a:extLst>
            <a:ext uri="{FF2B5EF4-FFF2-40B4-BE49-F238E27FC236}">
              <a16:creationId xmlns:a16="http://schemas.microsoft.com/office/drawing/2014/main" id="{00000000-0008-0000-0900-0000BC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444</xdr:row>
      <xdr:rowOff>0</xdr:rowOff>
    </xdr:from>
    <xdr:ext cx="381000" cy="381000"/>
    <xdr:pic>
      <xdr:nvPicPr>
        <xdr:cNvPr id="445" name="image43.jpg">
          <a:extLst>
            <a:ext uri="{FF2B5EF4-FFF2-40B4-BE49-F238E27FC236}">
              <a16:creationId xmlns:a16="http://schemas.microsoft.com/office/drawing/2014/main" id="{00000000-0008-0000-0900-0000BD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445</xdr:row>
      <xdr:rowOff>0</xdr:rowOff>
    </xdr:from>
    <xdr:ext cx="381000" cy="381000"/>
    <xdr:pic>
      <xdr:nvPicPr>
        <xdr:cNvPr id="446" name="image11.jpg">
          <a:extLst>
            <a:ext uri="{FF2B5EF4-FFF2-40B4-BE49-F238E27FC236}">
              <a16:creationId xmlns:a16="http://schemas.microsoft.com/office/drawing/2014/main" id="{00000000-0008-0000-0900-0000BE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446</xdr:row>
      <xdr:rowOff>0</xdr:rowOff>
    </xdr:from>
    <xdr:ext cx="381000" cy="381000"/>
    <xdr:pic>
      <xdr:nvPicPr>
        <xdr:cNvPr id="447" name="image21.jpg">
          <a:extLst>
            <a:ext uri="{FF2B5EF4-FFF2-40B4-BE49-F238E27FC236}">
              <a16:creationId xmlns:a16="http://schemas.microsoft.com/office/drawing/2014/main" id="{00000000-0008-0000-0900-0000BF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447</xdr:row>
      <xdr:rowOff>0</xdr:rowOff>
    </xdr:from>
    <xdr:ext cx="381000" cy="381000"/>
    <xdr:pic>
      <xdr:nvPicPr>
        <xdr:cNvPr id="448" name="image43.jpg">
          <a:extLst>
            <a:ext uri="{FF2B5EF4-FFF2-40B4-BE49-F238E27FC236}">
              <a16:creationId xmlns:a16="http://schemas.microsoft.com/office/drawing/2014/main" id="{00000000-0008-0000-0900-0000C0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448</xdr:row>
      <xdr:rowOff>0</xdr:rowOff>
    </xdr:from>
    <xdr:ext cx="381000" cy="381000"/>
    <xdr:pic>
      <xdr:nvPicPr>
        <xdr:cNvPr id="449" name="image21.jpg">
          <a:extLst>
            <a:ext uri="{FF2B5EF4-FFF2-40B4-BE49-F238E27FC236}">
              <a16:creationId xmlns:a16="http://schemas.microsoft.com/office/drawing/2014/main" id="{00000000-0008-0000-0900-0000C1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449</xdr:row>
      <xdr:rowOff>0</xdr:rowOff>
    </xdr:from>
    <xdr:ext cx="381000" cy="381000"/>
    <xdr:pic>
      <xdr:nvPicPr>
        <xdr:cNvPr id="450" name="image43.jpg">
          <a:extLst>
            <a:ext uri="{FF2B5EF4-FFF2-40B4-BE49-F238E27FC236}">
              <a16:creationId xmlns:a16="http://schemas.microsoft.com/office/drawing/2014/main" id="{00000000-0008-0000-0900-0000C2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450</xdr:row>
      <xdr:rowOff>0</xdr:rowOff>
    </xdr:from>
    <xdr:ext cx="381000" cy="381000"/>
    <xdr:pic>
      <xdr:nvPicPr>
        <xdr:cNvPr id="451" name="image21.jpg">
          <a:extLst>
            <a:ext uri="{FF2B5EF4-FFF2-40B4-BE49-F238E27FC236}">
              <a16:creationId xmlns:a16="http://schemas.microsoft.com/office/drawing/2014/main" id="{00000000-0008-0000-0900-0000C3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451</xdr:row>
      <xdr:rowOff>0</xdr:rowOff>
    </xdr:from>
    <xdr:ext cx="381000" cy="381000"/>
    <xdr:pic>
      <xdr:nvPicPr>
        <xdr:cNvPr id="452" name="image43.jpg">
          <a:extLst>
            <a:ext uri="{FF2B5EF4-FFF2-40B4-BE49-F238E27FC236}">
              <a16:creationId xmlns:a16="http://schemas.microsoft.com/office/drawing/2014/main" id="{00000000-0008-0000-0900-0000C4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452</xdr:row>
      <xdr:rowOff>0</xdr:rowOff>
    </xdr:from>
    <xdr:ext cx="381000" cy="381000"/>
    <xdr:pic>
      <xdr:nvPicPr>
        <xdr:cNvPr id="453" name="image21.jpg">
          <a:extLst>
            <a:ext uri="{FF2B5EF4-FFF2-40B4-BE49-F238E27FC236}">
              <a16:creationId xmlns:a16="http://schemas.microsoft.com/office/drawing/2014/main" id="{00000000-0008-0000-0900-0000C5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453</xdr:row>
      <xdr:rowOff>0</xdr:rowOff>
    </xdr:from>
    <xdr:ext cx="381000" cy="381000"/>
    <xdr:pic>
      <xdr:nvPicPr>
        <xdr:cNvPr id="454" name="image43.jpg">
          <a:extLst>
            <a:ext uri="{FF2B5EF4-FFF2-40B4-BE49-F238E27FC236}">
              <a16:creationId xmlns:a16="http://schemas.microsoft.com/office/drawing/2014/main" id="{00000000-0008-0000-0900-0000C6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454</xdr:row>
      <xdr:rowOff>0</xdr:rowOff>
    </xdr:from>
    <xdr:ext cx="381000" cy="381000"/>
    <xdr:pic>
      <xdr:nvPicPr>
        <xdr:cNvPr id="455" name="image21.jpg">
          <a:extLst>
            <a:ext uri="{FF2B5EF4-FFF2-40B4-BE49-F238E27FC236}">
              <a16:creationId xmlns:a16="http://schemas.microsoft.com/office/drawing/2014/main" id="{00000000-0008-0000-0900-0000C7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455</xdr:row>
      <xdr:rowOff>0</xdr:rowOff>
    </xdr:from>
    <xdr:ext cx="381000" cy="381000"/>
    <xdr:pic>
      <xdr:nvPicPr>
        <xdr:cNvPr id="456" name="image43.jpg">
          <a:extLst>
            <a:ext uri="{FF2B5EF4-FFF2-40B4-BE49-F238E27FC236}">
              <a16:creationId xmlns:a16="http://schemas.microsoft.com/office/drawing/2014/main" id="{00000000-0008-0000-0900-0000C8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456</xdr:row>
      <xdr:rowOff>0</xdr:rowOff>
    </xdr:from>
    <xdr:ext cx="381000" cy="381000"/>
    <xdr:pic>
      <xdr:nvPicPr>
        <xdr:cNvPr id="457" name="image21.jpg">
          <a:extLst>
            <a:ext uri="{FF2B5EF4-FFF2-40B4-BE49-F238E27FC236}">
              <a16:creationId xmlns:a16="http://schemas.microsoft.com/office/drawing/2014/main" id="{00000000-0008-0000-0900-0000C901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xdr:col>
      <xdr:colOff>0</xdr:colOff>
      <xdr:row>457</xdr:row>
      <xdr:rowOff>0</xdr:rowOff>
    </xdr:from>
    <xdr:ext cx="381000" cy="381000"/>
    <xdr:pic>
      <xdr:nvPicPr>
        <xdr:cNvPr id="458" name="image43.jpg">
          <a:extLst>
            <a:ext uri="{FF2B5EF4-FFF2-40B4-BE49-F238E27FC236}">
              <a16:creationId xmlns:a16="http://schemas.microsoft.com/office/drawing/2014/main" id="{00000000-0008-0000-0900-0000CA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458</xdr:row>
      <xdr:rowOff>0</xdr:rowOff>
    </xdr:from>
    <xdr:ext cx="381000" cy="381000"/>
    <xdr:pic>
      <xdr:nvPicPr>
        <xdr:cNvPr id="459" name="image11.jpg">
          <a:extLst>
            <a:ext uri="{FF2B5EF4-FFF2-40B4-BE49-F238E27FC236}">
              <a16:creationId xmlns:a16="http://schemas.microsoft.com/office/drawing/2014/main" id="{00000000-0008-0000-0900-0000CB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459</xdr:row>
      <xdr:rowOff>0</xdr:rowOff>
    </xdr:from>
    <xdr:ext cx="381000" cy="381000"/>
    <xdr:pic>
      <xdr:nvPicPr>
        <xdr:cNvPr id="460" name="image11.jpg">
          <a:extLst>
            <a:ext uri="{FF2B5EF4-FFF2-40B4-BE49-F238E27FC236}">
              <a16:creationId xmlns:a16="http://schemas.microsoft.com/office/drawing/2014/main" id="{00000000-0008-0000-0900-0000CC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460</xdr:row>
      <xdr:rowOff>0</xdr:rowOff>
    </xdr:from>
    <xdr:ext cx="381000" cy="381000"/>
    <xdr:pic>
      <xdr:nvPicPr>
        <xdr:cNvPr id="461" name="image43.jpg">
          <a:extLst>
            <a:ext uri="{FF2B5EF4-FFF2-40B4-BE49-F238E27FC236}">
              <a16:creationId xmlns:a16="http://schemas.microsoft.com/office/drawing/2014/main" id="{00000000-0008-0000-0900-0000CD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461</xdr:row>
      <xdr:rowOff>0</xdr:rowOff>
    </xdr:from>
    <xdr:ext cx="381000" cy="381000"/>
    <xdr:pic>
      <xdr:nvPicPr>
        <xdr:cNvPr id="462" name="image48.jpg">
          <a:extLst>
            <a:ext uri="{FF2B5EF4-FFF2-40B4-BE49-F238E27FC236}">
              <a16:creationId xmlns:a16="http://schemas.microsoft.com/office/drawing/2014/main" id="{00000000-0008-0000-0900-0000CE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462</xdr:row>
      <xdr:rowOff>0</xdr:rowOff>
    </xdr:from>
    <xdr:ext cx="381000" cy="381000"/>
    <xdr:pic>
      <xdr:nvPicPr>
        <xdr:cNvPr id="463" name="image43.jpg">
          <a:extLst>
            <a:ext uri="{FF2B5EF4-FFF2-40B4-BE49-F238E27FC236}">
              <a16:creationId xmlns:a16="http://schemas.microsoft.com/office/drawing/2014/main" id="{00000000-0008-0000-0900-0000CF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463</xdr:row>
      <xdr:rowOff>0</xdr:rowOff>
    </xdr:from>
    <xdr:ext cx="381000" cy="381000"/>
    <xdr:pic>
      <xdr:nvPicPr>
        <xdr:cNvPr id="464" name="image48.jpg">
          <a:extLst>
            <a:ext uri="{FF2B5EF4-FFF2-40B4-BE49-F238E27FC236}">
              <a16:creationId xmlns:a16="http://schemas.microsoft.com/office/drawing/2014/main" id="{00000000-0008-0000-0900-0000D0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464</xdr:row>
      <xdr:rowOff>0</xdr:rowOff>
    </xdr:from>
    <xdr:ext cx="381000" cy="381000"/>
    <xdr:pic>
      <xdr:nvPicPr>
        <xdr:cNvPr id="465" name="image43.jpg">
          <a:extLst>
            <a:ext uri="{FF2B5EF4-FFF2-40B4-BE49-F238E27FC236}">
              <a16:creationId xmlns:a16="http://schemas.microsoft.com/office/drawing/2014/main" id="{00000000-0008-0000-0900-0000D1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465</xdr:row>
      <xdr:rowOff>0</xdr:rowOff>
    </xdr:from>
    <xdr:ext cx="381000" cy="381000"/>
    <xdr:pic>
      <xdr:nvPicPr>
        <xdr:cNvPr id="466" name="image48.jpg">
          <a:extLst>
            <a:ext uri="{FF2B5EF4-FFF2-40B4-BE49-F238E27FC236}">
              <a16:creationId xmlns:a16="http://schemas.microsoft.com/office/drawing/2014/main" id="{00000000-0008-0000-0900-0000D2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466</xdr:row>
      <xdr:rowOff>0</xdr:rowOff>
    </xdr:from>
    <xdr:ext cx="381000" cy="381000"/>
    <xdr:pic>
      <xdr:nvPicPr>
        <xdr:cNvPr id="467" name="image43.jpg">
          <a:extLst>
            <a:ext uri="{FF2B5EF4-FFF2-40B4-BE49-F238E27FC236}">
              <a16:creationId xmlns:a16="http://schemas.microsoft.com/office/drawing/2014/main" id="{00000000-0008-0000-0900-0000D3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467</xdr:row>
      <xdr:rowOff>0</xdr:rowOff>
    </xdr:from>
    <xdr:ext cx="381000" cy="381000"/>
    <xdr:pic>
      <xdr:nvPicPr>
        <xdr:cNvPr id="468" name="image48.jpg">
          <a:extLst>
            <a:ext uri="{FF2B5EF4-FFF2-40B4-BE49-F238E27FC236}">
              <a16:creationId xmlns:a16="http://schemas.microsoft.com/office/drawing/2014/main" id="{00000000-0008-0000-0900-0000D4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468</xdr:row>
      <xdr:rowOff>0</xdr:rowOff>
    </xdr:from>
    <xdr:ext cx="381000" cy="381000"/>
    <xdr:pic>
      <xdr:nvPicPr>
        <xdr:cNvPr id="469" name="image43.jpg">
          <a:extLst>
            <a:ext uri="{FF2B5EF4-FFF2-40B4-BE49-F238E27FC236}">
              <a16:creationId xmlns:a16="http://schemas.microsoft.com/office/drawing/2014/main" id="{00000000-0008-0000-0900-0000D5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469</xdr:row>
      <xdr:rowOff>0</xdr:rowOff>
    </xdr:from>
    <xdr:ext cx="381000" cy="381000"/>
    <xdr:pic>
      <xdr:nvPicPr>
        <xdr:cNvPr id="470" name="image48.jpg">
          <a:extLst>
            <a:ext uri="{FF2B5EF4-FFF2-40B4-BE49-F238E27FC236}">
              <a16:creationId xmlns:a16="http://schemas.microsoft.com/office/drawing/2014/main" id="{00000000-0008-0000-0900-0000D6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470</xdr:row>
      <xdr:rowOff>0</xdr:rowOff>
    </xdr:from>
    <xdr:ext cx="381000" cy="381000"/>
    <xdr:pic>
      <xdr:nvPicPr>
        <xdr:cNvPr id="471" name="image43.jpg">
          <a:extLst>
            <a:ext uri="{FF2B5EF4-FFF2-40B4-BE49-F238E27FC236}">
              <a16:creationId xmlns:a16="http://schemas.microsoft.com/office/drawing/2014/main" id="{00000000-0008-0000-0900-0000D7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471</xdr:row>
      <xdr:rowOff>0</xdr:rowOff>
    </xdr:from>
    <xdr:ext cx="381000" cy="381000"/>
    <xdr:pic>
      <xdr:nvPicPr>
        <xdr:cNvPr id="472" name="image11.jpg">
          <a:extLst>
            <a:ext uri="{FF2B5EF4-FFF2-40B4-BE49-F238E27FC236}">
              <a16:creationId xmlns:a16="http://schemas.microsoft.com/office/drawing/2014/main" id="{00000000-0008-0000-0900-0000D8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472</xdr:row>
      <xdr:rowOff>0</xdr:rowOff>
    </xdr:from>
    <xdr:ext cx="381000" cy="381000"/>
    <xdr:pic>
      <xdr:nvPicPr>
        <xdr:cNvPr id="473" name="image43.jpg">
          <a:extLst>
            <a:ext uri="{FF2B5EF4-FFF2-40B4-BE49-F238E27FC236}">
              <a16:creationId xmlns:a16="http://schemas.microsoft.com/office/drawing/2014/main" id="{00000000-0008-0000-0900-0000D9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473</xdr:row>
      <xdr:rowOff>0</xdr:rowOff>
    </xdr:from>
    <xdr:ext cx="381000" cy="381000"/>
    <xdr:pic>
      <xdr:nvPicPr>
        <xdr:cNvPr id="474" name="image48.jpg">
          <a:extLst>
            <a:ext uri="{FF2B5EF4-FFF2-40B4-BE49-F238E27FC236}">
              <a16:creationId xmlns:a16="http://schemas.microsoft.com/office/drawing/2014/main" id="{00000000-0008-0000-0900-0000DA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474</xdr:row>
      <xdr:rowOff>0</xdr:rowOff>
    </xdr:from>
    <xdr:ext cx="381000" cy="381000"/>
    <xdr:pic>
      <xdr:nvPicPr>
        <xdr:cNvPr id="475" name="image43.jpg">
          <a:extLst>
            <a:ext uri="{FF2B5EF4-FFF2-40B4-BE49-F238E27FC236}">
              <a16:creationId xmlns:a16="http://schemas.microsoft.com/office/drawing/2014/main" id="{00000000-0008-0000-0900-0000DB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475</xdr:row>
      <xdr:rowOff>0</xdr:rowOff>
    </xdr:from>
    <xdr:ext cx="381000" cy="381000"/>
    <xdr:pic>
      <xdr:nvPicPr>
        <xdr:cNvPr id="476" name="image48.jpg">
          <a:extLst>
            <a:ext uri="{FF2B5EF4-FFF2-40B4-BE49-F238E27FC236}">
              <a16:creationId xmlns:a16="http://schemas.microsoft.com/office/drawing/2014/main" id="{00000000-0008-0000-0900-0000DC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476</xdr:row>
      <xdr:rowOff>0</xdr:rowOff>
    </xdr:from>
    <xdr:ext cx="381000" cy="381000"/>
    <xdr:pic>
      <xdr:nvPicPr>
        <xdr:cNvPr id="477" name="image43.jpg">
          <a:extLst>
            <a:ext uri="{FF2B5EF4-FFF2-40B4-BE49-F238E27FC236}">
              <a16:creationId xmlns:a16="http://schemas.microsoft.com/office/drawing/2014/main" id="{00000000-0008-0000-0900-0000DD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477</xdr:row>
      <xdr:rowOff>0</xdr:rowOff>
    </xdr:from>
    <xdr:ext cx="381000" cy="381000"/>
    <xdr:pic>
      <xdr:nvPicPr>
        <xdr:cNvPr id="478" name="image48.jpg">
          <a:extLst>
            <a:ext uri="{FF2B5EF4-FFF2-40B4-BE49-F238E27FC236}">
              <a16:creationId xmlns:a16="http://schemas.microsoft.com/office/drawing/2014/main" id="{00000000-0008-0000-0900-0000DE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478</xdr:row>
      <xdr:rowOff>0</xdr:rowOff>
    </xdr:from>
    <xdr:ext cx="381000" cy="381000"/>
    <xdr:pic>
      <xdr:nvPicPr>
        <xdr:cNvPr id="479" name="image43.jpg">
          <a:extLst>
            <a:ext uri="{FF2B5EF4-FFF2-40B4-BE49-F238E27FC236}">
              <a16:creationId xmlns:a16="http://schemas.microsoft.com/office/drawing/2014/main" id="{00000000-0008-0000-0900-0000DF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479</xdr:row>
      <xdr:rowOff>0</xdr:rowOff>
    </xdr:from>
    <xdr:ext cx="381000" cy="381000"/>
    <xdr:pic>
      <xdr:nvPicPr>
        <xdr:cNvPr id="480" name="image48.jpg">
          <a:extLst>
            <a:ext uri="{FF2B5EF4-FFF2-40B4-BE49-F238E27FC236}">
              <a16:creationId xmlns:a16="http://schemas.microsoft.com/office/drawing/2014/main" id="{00000000-0008-0000-0900-0000E0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480</xdr:row>
      <xdr:rowOff>0</xdr:rowOff>
    </xdr:from>
    <xdr:ext cx="381000" cy="381000"/>
    <xdr:pic>
      <xdr:nvPicPr>
        <xdr:cNvPr id="481" name="image43.jpg">
          <a:extLst>
            <a:ext uri="{FF2B5EF4-FFF2-40B4-BE49-F238E27FC236}">
              <a16:creationId xmlns:a16="http://schemas.microsoft.com/office/drawing/2014/main" id="{00000000-0008-0000-0900-0000E1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481</xdr:row>
      <xdr:rowOff>0</xdr:rowOff>
    </xdr:from>
    <xdr:ext cx="381000" cy="381000"/>
    <xdr:pic>
      <xdr:nvPicPr>
        <xdr:cNvPr id="482" name="image48.jpg">
          <a:extLst>
            <a:ext uri="{FF2B5EF4-FFF2-40B4-BE49-F238E27FC236}">
              <a16:creationId xmlns:a16="http://schemas.microsoft.com/office/drawing/2014/main" id="{00000000-0008-0000-0900-0000E2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482</xdr:row>
      <xdr:rowOff>0</xdr:rowOff>
    </xdr:from>
    <xdr:ext cx="381000" cy="381000"/>
    <xdr:pic>
      <xdr:nvPicPr>
        <xdr:cNvPr id="483" name="image43.jpg">
          <a:extLst>
            <a:ext uri="{FF2B5EF4-FFF2-40B4-BE49-F238E27FC236}">
              <a16:creationId xmlns:a16="http://schemas.microsoft.com/office/drawing/2014/main" id="{00000000-0008-0000-0900-0000E3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483</xdr:row>
      <xdr:rowOff>0</xdr:rowOff>
    </xdr:from>
    <xdr:ext cx="381000" cy="381000"/>
    <xdr:pic>
      <xdr:nvPicPr>
        <xdr:cNvPr id="484" name="image11.jpg">
          <a:extLst>
            <a:ext uri="{FF2B5EF4-FFF2-40B4-BE49-F238E27FC236}">
              <a16:creationId xmlns:a16="http://schemas.microsoft.com/office/drawing/2014/main" id="{00000000-0008-0000-0900-0000E4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484</xdr:row>
      <xdr:rowOff>0</xdr:rowOff>
    </xdr:from>
    <xdr:ext cx="381000" cy="381000"/>
    <xdr:pic>
      <xdr:nvPicPr>
        <xdr:cNvPr id="485" name="image43.jpg">
          <a:extLst>
            <a:ext uri="{FF2B5EF4-FFF2-40B4-BE49-F238E27FC236}">
              <a16:creationId xmlns:a16="http://schemas.microsoft.com/office/drawing/2014/main" id="{00000000-0008-0000-0900-0000E5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485</xdr:row>
      <xdr:rowOff>0</xdr:rowOff>
    </xdr:from>
    <xdr:ext cx="381000" cy="381000"/>
    <xdr:pic>
      <xdr:nvPicPr>
        <xdr:cNvPr id="486" name="image48.jpg">
          <a:extLst>
            <a:ext uri="{FF2B5EF4-FFF2-40B4-BE49-F238E27FC236}">
              <a16:creationId xmlns:a16="http://schemas.microsoft.com/office/drawing/2014/main" id="{00000000-0008-0000-0900-0000E6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486</xdr:row>
      <xdr:rowOff>0</xdr:rowOff>
    </xdr:from>
    <xdr:ext cx="381000" cy="381000"/>
    <xdr:pic>
      <xdr:nvPicPr>
        <xdr:cNvPr id="487" name="image43.jpg">
          <a:extLst>
            <a:ext uri="{FF2B5EF4-FFF2-40B4-BE49-F238E27FC236}">
              <a16:creationId xmlns:a16="http://schemas.microsoft.com/office/drawing/2014/main" id="{00000000-0008-0000-0900-0000E7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487</xdr:row>
      <xdr:rowOff>0</xdr:rowOff>
    </xdr:from>
    <xdr:ext cx="381000" cy="381000"/>
    <xdr:pic>
      <xdr:nvPicPr>
        <xdr:cNvPr id="488" name="image48.jpg">
          <a:extLst>
            <a:ext uri="{FF2B5EF4-FFF2-40B4-BE49-F238E27FC236}">
              <a16:creationId xmlns:a16="http://schemas.microsoft.com/office/drawing/2014/main" id="{00000000-0008-0000-0900-0000E8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488</xdr:row>
      <xdr:rowOff>0</xdr:rowOff>
    </xdr:from>
    <xdr:ext cx="381000" cy="381000"/>
    <xdr:pic>
      <xdr:nvPicPr>
        <xdr:cNvPr id="489" name="image43.jpg">
          <a:extLst>
            <a:ext uri="{FF2B5EF4-FFF2-40B4-BE49-F238E27FC236}">
              <a16:creationId xmlns:a16="http://schemas.microsoft.com/office/drawing/2014/main" id="{00000000-0008-0000-0900-0000E9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489</xdr:row>
      <xdr:rowOff>0</xdr:rowOff>
    </xdr:from>
    <xdr:ext cx="381000" cy="381000"/>
    <xdr:pic>
      <xdr:nvPicPr>
        <xdr:cNvPr id="490" name="image48.jpg">
          <a:extLst>
            <a:ext uri="{FF2B5EF4-FFF2-40B4-BE49-F238E27FC236}">
              <a16:creationId xmlns:a16="http://schemas.microsoft.com/office/drawing/2014/main" id="{00000000-0008-0000-0900-0000EA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490</xdr:row>
      <xdr:rowOff>0</xdr:rowOff>
    </xdr:from>
    <xdr:ext cx="381000" cy="381000"/>
    <xdr:pic>
      <xdr:nvPicPr>
        <xdr:cNvPr id="491" name="image43.jpg">
          <a:extLst>
            <a:ext uri="{FF2B5EF4-FFF2-40B4-BE49-F238E27FC236}">
              <a16:creationId xmlns:a16="http://schemas.microsoft.com/office/drawing/2014/main" id="{00000000-0008-0000-0900-0000EB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491</xdr:row>
      <xdr:rowOff>0</xdr:rowOff>
    </xdr:from>
    <xdr:ext cx="381000" cy="381000"/>
    <xdr:pic>
      <xdr:nvPicPr>
        <xdr:cNvPr id="492" name="image48.jpg">
          <a:extLst>
            <a:ext uri="{FF2B5EF4-FFF2-40B4-BE49-F238E27FC236}">
              <a16:creationId xmlns:a16="http://schemas.microsoft.com/office/drawing/2014/main" id="{00000000-0008-0000-0900-0000EC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492</xdr:row>
      <xdr:rowOff>0</xdr:rowOff>
    </xdr:from>
    <xdr:ext cx="381000" cy="381000"/>
    <xdr:pic>
      <xdr:nvPicPr>
        <xdr:cNvPr id="493" name="image43.jpg">
          <a:extLst>
            <a:ext uri="{FF2B5EF4-FFF2-40B4-BE49-F238E27FC236}">
              <a16:creationId xmlns:a16="http://schemas.microsoft.com/office/drawing/2014/main" id="{00000000-0008-0000-0900-0000ED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493</xdr:row>
      <xdr:rowOff>0</xdr:rowOff>
    </xdr:from>
    <xdr:ext cx="381000" cy="381000"/>
    <xdr:pic>
      <xdr:nvPicPr>
        <xdr:cNvPr id="494" name="image48.jpg">
          <a:extLst>
            <a:ext uri="{FF2B5EF4-FFF2-40B4-BE49-F238E27FC236}">
              <a16:creationId xmlns:a16="http://schemas.microsoft.com/office/drawing/2014/main" id="{00000000-0008-0000-0900-0000EE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494</xdr:row>
      <xdr:rowOff>0</xdr:rowOff>
    </xdr:from>
    <xdr:ext cx="381000" cy="381000"/>
    <xdr:pic>
      <xdr:nvPicPr>
        <xdr:cNvPr id="495" name="image43.jpg">
          <a:extLst>
            <a:ext uri="{FF2B5EF4-FFF2-40B4-BE49-F238E27FC236}">
              <a16:creationId xmlns:a16="http://schemas.microsoft.com/office/drawing/2014/main" id="{00000000-0008-0000-0900-0000EF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495</xdr:row>
      <xdr:rowOff>0</xdr:rowOff>
    </xdr:from>
    <xdr:ext cx="381000" cy="381000"/>
    <xdr:pic>
      <xdr:nvPicPr>
        <xdr:cNvPr id="496" name="image11.jpg">
          <a:extLst>
            <a:ext uri="{FF2B5EF4-FFF2-40B4-BE49-F238E27FC236}">
              <a16:creationId xmlns:a16="http://schemas.microsoft.com/office/drawing/2014/main" id="{00000000-0008-0000-0900-0000F0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496</xdr:row>
      <xdr:rowOff>0</xdr:rowOff>
    </xdr:from>
    <xdr:ext cx="381000" cy="381000"/>
    <xdr:pic>
      <xdr:nvPicPr>
        <xdr:cNvPr id="497" name="image43.jpg">
          <a:extLst>
            <a:ext uri="{FF2B5EF4-FFF2-40B4-BE49-F238E27FC236}">
              <a16:creationId xmlns:a16="http://schemas.microsoft.com/office/drawing/2014/main" id="{00000000-0008-0000-0900-0000F1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497</xdr:row>
      <xdr:rowOff>0</xdr:rowOff>
    </xdr:from>
    <xdr:ext cx="381000" cy="381000"/>
    <xdr:pic>
      <xdr:nvPicPr>
        <xdr:cNvPr id="498" name="image48.jpg">
          <a:extLst>
            <a:ext uri="{FF2B5EF4-FFF2-40B4-BE49-F238E27FC236}">
              <a16:creationId xmlns:a16="http://schemas.microsoft.com/office/drawing/2014/main" id="{00000000-0008-0000-0900-0000F2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498</xdr:row>
      <xdr:rowOff>0</xdr:rowOff>
    </xdr:from>
    <xdr:ext cx="381000" cy="381000"/>
    <xdr:pic>
      <xdr:nvPicPr>
        <xdr:cNvPr id="499" name="image43.jpg">
          <a:extLst>
            <a:ext uri="{FF2B5EF4-FFF2-40B4-BE49-F238E27FC236}">
              <a16:creationId xmlns:a16="http://schemas.microsoft.com/office/drawing/2014/main" id="{00000000-0008-0000-0900-0000F3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499</xdr:row>
      <xdr:rowOff>0</xdr:rowOff>
    </xdr:from>
    <xdr:ext cx="381000" cy="381000"/>
    <xdr:pic>
      <xdr:nvPicPr>
        <xdr:cNvPr id="500" name="image48.jpg">
          <a:extLst>
            <a:ext uri="{FF2B5EF4-FFF2-40B4-BE49-F238E27FC236}">
              <a16:creationId xmlns:a16="http://schemas.microsoft.com/office/drawing/2014/main" id="{00000000-0008-0000-0900-0000F4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500</xdr:row>
      <xdr:rowOff>0</xdr:rowOff>
    </xdr:from>
    <xdr:ext cx="381000" cy="381000"/>
    <xdr:pic>
      <xdr:nvPicPr>
        <xdr:cNvPr id="501" name="image43.jpg">
          <a:extLst>
            <a:ext uri="{FF2B5EF4-FFF2-40B4-BE49-F238E27FC236}">
              <a16:creationId xmlns:a16="http://schemas.microsoft.com/office/drawing/2014/main" id="{00000000-0008-0000-0900-0000F501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xdr:col>
      <xdr:colOff>0</xdr:colOff>
      <xdr:row>501</xdr:row>
      <xdr:rowOff>0</xdr:rowOff>
    </xdr:from>
    <xdr:ext cx="381000" cy="381000"/>
    <xdr:pic>
      <xdr:nvPicPr>
        <xdr:cNvPr id="502" name="image48.jpg">
          <a:extLst>
            <a:ext uri="{FF2B5EF4-FFF2-40B4-BE49-F238E27FC236}">
              <a16:creationId xmlns:a16="http://schemas.microsoft.com/office/drawing/2014/main" id="{00000000-0008-0000-0900-0000F6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502</xdr:row>
      <xdr:rowOff>0</xdr:rowOff>
    </xdr:from>
    <xdr:ext cx="381000" cy="381000"/>
    <xdr:pic>
      <xdr:nvPicPr>
        <xdr:cNvPr id="503" name="image11.jpg">
          <a:extLst>
            <a:ext uri="{FF2B5EF4-FFF2-40B4-BE49-F238E27FC236}">
              <a16:creationId xmlns:a16="http://schemas.microsoft.com/office/drawing/2014/main" id="{00000000-0008-0000-0900-0000F701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0</xdr:colOff>
      <xdr:row>503</xdr:row>
      <xdr:rowOff>0</xdr:rowOff>
    </xdr:from>
    <xdr:ext cx="381000" cy="381000"/>
    <xdr:pic>
      <xdr:nvPicPr>
        <xdr:cNvPr id="504" name="image48.jpg">
          <a:extLst>
            <a:ext uri="{FF2B5EF4-FFF2-40B4-BE49-F238E27FC236}">
              <a16:creationId xmlns:a16="http://schemas.microsoft.com/office/drawing/2014/main" id="{00000000-0008-0000-0900-0000F801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xdr:col>
      <xdr:colOff>0</xdr:colOff>
      <xdr:row>504</xdr:row>
      <xdr:rowOff>0</xdr:rowOff>
    </xdr:from>
    <xdr:ext cx="381000" cy="381000"/>
    <xdr:pic>
      <xdr:nvPicPr>
        <xdr:cNvPr id="505" name="image27.jpg">
          <a:extLst>
            <a:ext uri="{FF2B5EF4-FFF2-40B4-BE49-F238E27FC236}">
              <a16:creationId xmlns:a16="http://schemas.microsoft.com/office/drawing/2014/main" id="{00000000-0008-0000-0900-0000F901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505</xdr:row>
      <xdr:rowOff>0</xdr:rowOff>
    </xdr:from>
    <xdr:ext cx="381000" cy="381000"/>
    <xdr:pic>
      <xdr:nvPicPr>
        <xdr:cNvPr id="506" name="image53.jpg">
          <a:extLst>
            <a:ext uri="{FF2B5EF4-FFF2-40B4-BE49-F238E27FC236}">
              <a16:creationId xmlns:a16="http://schemas.microsoft.com/office/drawing/2014/main" id="{00000000-0008-0000-0900-0000FA01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506</xdr:row>
      <xdr:rowOff>0</xdr:rowOff>
    </xdr:from>
    <xdr:ext cx="381000" cy="381000"/>
    <xdr:pic>
      <xdr:nvPicPr>
        <xdr:cNvPr id="507" name="image53.jpg">
          <a:extLst>
            <a:ext uri="{FF2B5EF4-FFF2-40B4-BE49-F238E27FC236}">
              <a16:creationId xmlns:a16="http://schemas.microsoft.com/office/drawing/2014/main" id="{00000000-0008-0000-0900-0000FB01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507</xdr:row>
      <xdr:rowOff>0</xdr:rowOff>
    </xdr:from>
    <xdr:ext cx="381000" cy="381000"/>
    <xdr:pic>
      <xdr:nvPicPr>
        <xdr:cNvPr id="508" name="image30.jpg">
          <a:extLst>
            <a:ext uri="{FF2B5EF4-FFF2-40B4-BE49-F238E27FC236}">
              <a16:creationId xmlns:a16="http://schemas.microsoft.com/office/drawing/2014/main" id="{00000000-0008-0000-0900-0000FC01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508</xdr:row>
      <xdr:rowOff>0</xdr:rowOff>
    </xdr:from>
    <xdr:ext cx="381000" cy="381000"/>
    <xdr:pic>
      <xdr:nvPicPr>
        <xdr:cNvPr id="509" name="image30.jpg">
          <a:extLst>
            <a:ext uri="{FF2B5EF4-FFF2-40B4-BE49-F238E27FC236}">
              <a16:creationId xmlns:a16="http://schemas.microsoft.com/office/drawing/2014/main" id="{00000000-0008-0000-0900-0000FD01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509</xdr:row>
      <xdr:rowOff>0</xdr:rowOff>
    </xdr:from>
    <xdr:ext cx="381000" cy="381000"/>
    <xdr:pic>
      <xdr:nvPicPr>
        <xdr:cNvPr id="510" name="image30.jpg">
          <a:extLst>
            <a:ext uri="{FF2B5EF4-FFF2-40B4-BE49-F238E27FC236}">
              <a16:creationId xmlns:a16="http://schemas.microsoft.com/office/drawing/2014/main" id="{00000000-0008-0000-0900-0000FE01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510</xdr:row>
      <xdr:rowOff>0</xdr:rowOff>
    </xdr:from>
    <xdr:ext cx="381000" cy="381000"/>
    <xdr:pic>
      <xdr:nvPicPr>
        <xdr:cNvPr id="511" name="image30.jpg">
          <a:extLst>
            <a:ext uri="{FF2B5EF4-FFF2-40B4-BE49-F238E27FC236}">
              <a16:creationId xmlns:a16="http://schemas.microsoft.com/office/drawing/2014/main" id="{00000000-0008-0000-0900-0000FF01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511</xdr:row>
      <xdr:rowOff>0</xdr:rowOff>
    </xdr:from>
    <xdr:ext cx="381000" cy="381000"/>
    <xdr:pic>
      <xdr:nvPicPr>
        <xdr:cNvPr id="512" name="image27.jpg">
          <a:extLst>
            <a:ext uri="{FF2B5EF4-FFF2-40B4-BE49-F238E27FC236}">
              <a16:creationId xmlns:a16="http://schemas.microsoft.com/office/drawing/2014/main" id="{00000000-0008-0000-0900-00000002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512</xdr:row>
      <xdr:rowOff>0</xdr:rowOff>
    </xdr:from>
    <xdr:ext cx="381000" cy="381000"/>
    <xdr:pic>
      <xdr:nvPicPr>
        <xdr:cNvPr id="513" name="image53.jpg">
          <a:extLst>
            <a:ext uri="{FF2B5EF4-FFF2-40B4-BE49-F238E27FC236}">
              <a16:creationId xmlns:a16="http://schemas.microsoft.com/office/drawing/2014/main" id="{00000000-0008-0000-0900-000001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513</xdr:row>
      <xdr:rowOff>0</xdr:rowOff>
    </xdr:from>
    <xdr:ext cx="381000" cy="381000"/>
    <xdr:pic>
      <xdr:nvPicPr>
        <xdr:cNvPr id="514" name="image53.jpg">
          <a:extLst>
            <a:ext uri="{FF2B5EF4-FFF2-40B4-BE49-F238E27FC236}">
              <a16:creationId xmlns:a16="http://schemas.microsoft.com/office/drawing/2014/main" id="{00000000-0008-0000-0900-000002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514</xdr:row>
      <xdr:rowOff>0</xdr:rowOff>
    </xdr:from>
    <xdr:ext cx="381000" cy="381000"/>
    <xdr:pic>
      <xdr:nvPicPr>
        <xdr:cNvPr id="515" name="image30.jpg">
          <a:extLst>
            <a:ext uri="{FF2B5EF4-FFF2-40B4-BE49-F238E27FC236}">
              <a16:creationId xmlns:a16="http://schemas.microsoft.com/office/drawing/2014/main" id="{00000000-0008-0000-0900-000003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515</xdr:row>
      <xdr:rowOff>0</xdr:rowOff>
    </xdr:from>
    <xdr:ext cx="381000" cy="381000"/>
    <xdr:pic>
      <xdr:nvPicPr>
        <xdr:cNvPr id="516" name="image30.jpg">
          <a:extLst>
            <a:ext uri="{FF2B5EF4-FFF2-40B4-BE49-F238E27FC236}">
              <a16:creationId xmlns:a16="http://schemas.microsoft.com/office/drawing/2014/main" id="{00000000-0008-0000-0900-000004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516</xdr:row>
      <xdr:rowOff>0</xdr:rowOff>
    </xdr:from>
    <xdr:ext cx="381000" cy="381000"/>
    <xdr:pic>
      <xdr:nvPicPr>
        <xdr:cNvPr id="517" name="image30.jpg">
          <a:extLst>
            <a:ext uri="{FF2B5EF4-FFF2-40B4-BE49-F238E27FC236}">
              <a16:creationId xmlns:a16="http://schemas.microsoft.com/office/drawing/2014/main" id="{00000000-0008-0000-0900-000005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517</xdr:row>
      <xdr:rowOff>0</xdr:rowOff>
    </xdr:from>
    <xdr:ext cx="381000" cy="381000"/>
    <xdr:pic>
      <xdr:nvPicPr>
        <xdr:cNvPr id="518" name="image30.jpg">
          <a:extLst>
            <a:ext uri="{FF2B5EF4-FFF2-40B4-BE49-F238E27FC236}">
              <a16:creationId xmlns:a16="http://schemas.microsoft.com/office/drawing/2014/main" id="{00000000-0008-0000-0900-000006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518</xdr:row>
      <xdr:rowOff>0</xdr:rowOff>
    </xdr:from>
    <xdr:ext cx="381000" cy="381000"/>
    <xdr:pic>
      <xdr:nvPicPr>
        <xdr:cNvPr id="519" name="image27.jpg">
          <a:extLst>
            <a:ext uri="{FF2B5EF4-FFF2-40B4-BE49-F238E27FC236}">
              <a16:creationId xmlns:a16="http://schemas.microsoft.com/office/drawing/2014/main" id="{00000000-0008-0000-0900-00000702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519</xdr:row>
      <xdr:rowOff>0</xdr:rowOff>
    </xdr:from>
    <xdr:ext cx="381000" cy="381000"/>
    <xdr:pic>
      <xdr:nvPicPr>
        <xdr:cNvPr id="520" name="image53.jpg">
          <a:extLst>
            <a:ext uri="{FF2B5EF4-FFF2-40B4-BE49-F238E27FC236}">
              <a16:creationId xmlns:a16="http://schemas.microsoft.com/office/drawing/2014/main" id="{00000000-0008-0000-0900-000008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520</xdr:row>
      <xdr:rowOff>0</xdr:rowOff>
    </xdr:from>
    <xdr:ext cx="381000" cy="381000"/>
    <xdr:pic>
      <xdr:nvPicPr>
        <xdr:cNvPr id="521" name="image53.jpg">
          <a:extLst>
            <a:ext uri="{FF2B5EF4-FFF2-40B4-BE49-F238E27FC236}">
              <a16:creationId xmlns:a16="http://schemas.microsoft.com/office/drawing/2014/main" id="{00000000-0008-0000-0900-000009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521</xdr:row>
      <xdr:rowOff>0</xdr:rowOff>
    </xdr:from>
    <xdr:ext cx="381000" cy="381000"/>
    <xdr:pic>
      <xdr:nvPicPr>
        <xdr:cNvPr id="522" name="image30.jpg">
          <a:extLst>
            <a:ext uri="{FF2B5EF4-FFF2-40B4-BE49-F238E27FC236}">
              <a16:creationId xmlns:a16="http://schemas.microsoft.com/office/drawing/2014/main" id="{00000000-0008-0000-0900-00000A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522</xdr:row>
      <xdr:rowOff>0</xdr:rowOff>
    </xdr:from>
    <xdr:ext cx="381000" cy="381000"/>
    <xdr:pic>
      <xdr:nvPicPr>
        <xdr:cNvPr id="523" name="image30.jpg">
          <a:extLst>
            <a:ext uri="{FF2B5EF4-FFF2-40B4-BE49-F238E27FC236}">
              <a16:creationId xmlns:a16="http://schemas.microsoft.com/office/drawing/2014/main" id="{00000000-0008-0000-0900-00000B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523</xdr:row>
      <xdr:rowOff>0</xdr:rowOff>
    </xdr:from>
    <xdr:ext cx="381000" cy="381000"/>
    <xdr:pic>
      <xdr:nvPicPr>
        <xdr:cNvPr id="524" name="image30.jpg">
          <a:extLst>
            <a:ext uri="{FF2B5EF4-FFF2-40B4-BE49-F238E27FC236}">
              <a16:creationId xmlns:a16="http://schemas.microsoft.com/office/drawing/2014/main" id="{00000000-0008-0000-0900-00000C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524</xdr:row>
      <xdr:rowOff>0</xdr:rowOff>
    </xdr:from>
    <xdr:ext cx="381000" cy="381000"/>
    <xdr:pic>
      <xdr:nvPicPr>
        <xdr:cNvPr id="525" name="image30.jpg">
          <a:extLst>
            <a:ext uri="{FF2B5EF4-FFF2-40B4-BE49-F238E27FC236}">
              <a16:creationId xmlns:a16="http://schemas.microsoft.com/office/drawing/2014/main" id="{00000000-0008-0000-0900-00000D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525</xdr:row>
      <xdr:rowOff>0</xdr:rowOff>
    </xdr:from>
    <xdr:ext cx="381000" cy="381000"/>
    <xdr:pic>
      <xdr:nvPicPr>
        <xdr:cNvPr id="526" name="image27.jpg">
          <a:extLst>
            <a:ext uri="{FF2B5EF4-FFF2-40B4-BE49-F238E27FC236}">
              <a16:creationId xmlns:a16="http://schemas.microsoft.com/office/drawing/2014/main" id="{00000000-0008-0000-0900-00000E02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526</xdr:row>
      <xdr:rowOff>0</xdr:rowOff>
    </xdr:from>
    <xdr:ext cx="381000" cy="381000"/>
    <xdr:pic>
      <xdr:nvPicPr>
        <xdr:cNvPr id="527" name="image53.jpg">
          <a:extLst>
            <a:ext uri="{FF2B5EF4-FFF2-40B4-BE49-F238E27FC236}">
              <a16:creationId xmlns:a16="http://schemas.microsoft.com/office/drawing/2014/main" id="{00000000-0008-0000-0900-00000F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527</xdr:row>
      <xdr:rowOff>0</xdr:rowOff>
    </xdr:from>
    <xdr:ext cx="381000" cy="381000"/>
    <xdr:pic>
      <xdr:nvPicPr>
        <xdr:cNvPr id="528" name="image53.jpg">
          <a:extLst>
            <a:ext uri="{FF2B5EF4-FFF2-40B4-BE49-F238E27FC236}">
              <a16:creationId xmlns:a16="http://schemas.microsoft.com/office/drawing/2014/main" id="{00000000-0008-0000-0900-000010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528</xdr:row>
      <xdr:rowOff>0</xdr:rowOff>
    </xdr:from>
    <xdr:ext cx="381000" cy="381000"/>
    <xdr:pic>
      <xdr:nvPicPr>
        <xdr:cNvPr id="529" name="image30.jpg">
          <a:extLst>
            <a:ext uri="{FF2B5EF4-FFF2-40B4-BE49-F238E27FC236}">
              <a16:creationId xmlns:a16="http://schemas.microsoft.com/office/drawing/2014/main" id="{00000000-0008-0000-0900-000011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529</xdr:row>
      <xdr:rowOff>0</xdr:rowOff>
    </xdr:from>
    <xdr:ext cx="381000" cy="381000"/>
    <xdr:pic>
      <xdr:nvPicPr>
        <xdr:cNvPr id="530" name="image30.jpg">
          <a:extLst>
            <a:ext uri="{FF2B5EF4-FFF2-40B4-BE49-F238E27FC236}">
              <a16:creationId xmlns:a16="http://schemas.microsoft.com/office/drawing/2014/main" id="{00000000-0008-0000-0900-000012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530</xdr:row>
      <xdr:rowOff>0</xdr:rowOff>
    </xdr:from>
    <xdr:ext cx="381000" cy="381000"/>
    <xdr:pic>
      <xdr:nvPicPr>
        <xdr:cNvPr id="531" name="image30.jpg">
          <a:extLst>
            <a:ext uri="{FF2B5EF4-FFF2-40B4-BE49-F238E27FC236}">
              <a16:creationId xmlns:a16="http://schemas.microsoft.com/office/drawing/2014/main" id="{00000000-0008-0000-0900-000013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531</xdr:row>
      <xdr:rowOff>0</xdr:rowOff>
    </xdr:from>
    <xdr:ext cx="381000" cy="381000"/>
    <xdr:pic>
      <xdr:nvPicPr>
        <xdr:cNvPr id="532" name="image30.jpg">
          <a:extLst>
            <a:ext uri="{FF2B5EF4-FFF2-40B4-BE49-F238E27FC236}">
              <a16:creationId xmlns:a16="http://schemas.microsoft.com/office/drawing/2014/main" id="{00000000-0008-0000-0900-000014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532</xdr:row>
      <xdr:rowOff>0</xdr:rowOff>
    </xdr:from>
    <xdr:ext cx="381000" cy="381000"/>
    <xdr:pic>
      <xdr:nvPicPr>
        <xdr:cNvPr id="533" name="image27.jpg">
          <a:extLst>
            <a:ext uri="{FF2B5EF4-FFF2-40B4-BE49-F238E27FC236}">
              <a16:creationId xmlns:a16="http://schemas.microsoft.com/office/drawing/2014/main" id="{00000000-0008-0000-0900-00001502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533</xdr:row>
      <xdr:rowOff>0</xdr:rowOff>
    </xdr:from>
    <xdr:ext cx="381000" cy="381000"/>
    <xdr:pic>
      <xdr:nvPicPr>
        <xdr:cNvPr id="534" name="image53.jpg">
          <a:extLst>
            <a:ext uri="{FF2B5EF4-FFF2-40B4-BE49-F238E27FC236}">
              <a16:creationId xmlns:a16="http://schemas.microsoft.com/office/drawing/2014/main" id="{00000000-0008-0000-0900-000016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534</xdr:row>
      <xdr:rowOff>0</xdr:rowOff>
    </xdr:from>
    <xdr:ext cx="381000" cy="381000"/>
    <xdr:pic>
      <xdr:nvPicPr>
        <xdr:cNvPr id="535" name="image53.jpg">
          <a:extLst>
            <a:ext uri="{FF2B5EF4-FFF2-40B4-BE49-F238E27FC236}">
              <a16:creationId xmlns:a16="http://schemas.microsoft.com/office/drawing/2014/main" id="{00000000-0008-0000-0900-000017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535</xdr:row>
      <xdr:rowOff>0</xdr:rowOff>
    </xdr:from>
    <xdr:ext cx="381000" cy="381000"/>
    <xdr:pic>
      <xdr:nvPicPr>
        <xdr:cNvPr id="536" name="image30.jpg">
          <a:extLst>
            <a:ext uri="{FF2B5EF4-FFF2-40B4-BE49-F238E27FC236}">
              <a16:creationId xmlns:a16="http://schemas.microsoft.com/office/drawing/2014/main" id="{00000000-0008-0000-0900-000018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536</xdr:row>
      <xdr:rowOff>0</xdr:rowOff>
    </xdr:from>
    <xdr:ext cx="381000" cy="381000"/>
    <xdr:pic>
      <xdr:nvPicPr>
        <xdr:cNvPr id="537" name="image30.jpg">
          <a:extLst>
            <a:ext uri="{FF2B5EF4-FFF2-40B4-BE49-F238E27FC236}">
              <a16:creationId xmlns:a16="http://schemas.microsoft.com/office/drawing/2014/main" id="{00000000-0008-0000-0900-000019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537</xdr:row>
      <xdr:rowOff>0</xdr:rowOff>
    </xdr:from>
    <xdr:ext cx="381000" cy="381000"/>
    <xdr:pic>
      <xdr:nvPicPr>
        <xdr:cNvPr id="538" name="image30.jpg">
          <a:extLst>
            <a:ext uri="{FF2B5EF4-FFF2-40B4-BE49-F238E27FC236}">
              <a16:creationId xmlns:a16="http://schemas.microsoft.com/office/drawing/2014/main" id="{00000000-0008-0000-0900-00001A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538</xdr:row>
      <xdr:rowOff>0</xdr:rowOff>
    </xdr:from>
    <xdr:ext cx="381000" cy="381000"/>
    <xdr:pic>
      <xdr:nvPicPr>
        <xdr:cNvPr id="539" name="image30.jpg">
          <a:extLst>
            <a:ext uri="{FF2B5EF4-FFF2-40B4-BE49-F238E27FC236}">
              <a16:creationId xmlns:a16="http://schemas.microsoft.com/office/drawing/2014/main" id="{00000000-0008-0000-0900-00001B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539</xdr:row>
      <xdr:rowOff>0</xdr:rowOff>
    </xdr:from>
    <xdr:ext cx="381000" cy="381000"/>
    <xdr:pic>
      <xdr:nvPicPr>
        <xdr:cNvPr id="540" name="image27.jpg">
          <a:extLst>
            <a:ext uri="{FF2B5EF4-FFF2-40B4-BE49-F238E27FC236}">
              <a16:creationId xmlns:a16="http://schemas.microsoft.com/office/drawing/2014/main" id="{00000000-0008-0000-0900-00001C02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540</xdr:row>
      <xdr:rowOff>0</xdr:rowOff>
    </xdr:from>
    <xdr:ext cx="381000" cy="381000"/>
    <xdr:pic>
      <xdr:nvPicPr>
        <xdr:cNvPr id="541" name="image53.jpg">
          <a:extLst>
            <a:ext uri="{FF2B5EF4-FFF2-40B4-BE49-F238E27FC236}">
              <a16:creationId xmlns:a16="http://schemas.microsoft.com/office/drawing/2014/main" id="{00000000-0008-0000-0900-00001D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541</xdr:row>
      <xdr:rowOff>0</xdr:rowOff>
    </xdr:from>
    <xdr:ext cx="381000" cy="381000"/>
    <xdr:pic>
      <xdr:nvPicPr>
        <xdr:cNvPr id="542" name="image53.jpg">
          <a:extLst>
            <a:ext uri="{FF2B5EF4-FFF2-40B4-BE49-F238E27FC236}">
              <a16:creationId xmlns:a16="http://schemas.microsoft.com/office/drawing/2014/main" id="{00000000-0008-0000-0900-00001E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542</xdr:row>
      <xdr:rowOff>0</xdr:rowOff>
    </xdr:from>
    <xdr:ext cx="381000" cy="381000"/>
    <xdr:pic>
      <xdr:nvPicPr>
        <xdr:cNvPr id="543" name="image30.jpg">
          <a:extLst>
            <a:ext uri="{FF2B5EF4-FFF2-40B4-BE49-F238E27FC236}">
              <a16:creationId xmlns:a16="http://schemas.microsoft.com/office/drawing/2014/main" id="{00000000-0008-0000-0900-00001F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543</xdr:row>
      <xdr:rowOff>0</xdr:rowOff>
    </xdr:from>
    <xdr:ext cx="381000" cy="381000"/>
    <xdr:pic>
      <xdr:nvPicPr>
        <xdr:cNvPr id="544" name="image30.jpg">
          <a:extLst>
            <a:ext uri="{FF2B5EF4-FFF2-40B4-BE49-F238E27FC236}">
              <a16:creationId xmlns:a16="http://schemas.microsoft.com/office/drawing/2014/main" id="{00000000-0008-0000-0900-000020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544</xdr:row>
      <xdr:rowOff>0</xdr:rowOff>
    </xdr:from>
    <xdr:ext cx="381000" cy="381000"/>
    <xdr:pic>
      <xdr:nvPicPr>
        <xdr:cNvPr id="545" name="image30.jpg">
          <a:extLst>
            <a:ext uri="{FF2B5EF4-FFF2-40B4-BE49-F238E27FC236}">
              <a16:creationId xmlns:a16="http://schemas.microsoft.com/office/drawing/2014/main" id="{00000000-0008-0000-0900-000021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545</xdr:row>
      <xdr:rowOff>0</xdr:rowOff>
    </xdr:from>
    <xdr:ext cx="381000" cy="381000"/>
    <xdr:pic>
      <xdr:nvPicPr>
        <xdr:cNvPr id="546" name="image30.jpg">
          <a:extLst>
            <a:ext uri="{FF2B5EF4-FFF2-40B4-BE49-F238E27FC236}">
              <a16:creationId xmlns:a16="http://schemas.microsoft.com/office/drawing/2014/main" id="{00000000-0008-0000-0900-000022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546</xdr:row>
      <xdr:rowOff>0</xdr:rowOff>
    </xdr:from>
    <xdr:ext cx="381000" cy="381000"/>
    <xdr:pic>
      <xdr:nvPicPr>
        <xdr:cNvPr id="547" name="image27.jpg">
          <a:extLst>
            <a:ext uri="{FF2B5EF4-FFF2-40B4-BE49-F238E27FC236}">
              <a16:creationId xmlns:a16="http://schemas.microsoft.com/office/drawing/2014/main" id="{00000000-0008-0000-0900-00002302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547</xdr:row>
      <xdr:rowOff>0</xdr:rowOff>
    </xdr:from>
    <xdr:ext cx="381000" cy="381000"/>
    <xdr:pic>
      <xdr:nvPicPr>
        <xdr:cNvPr id="548" name="image53.jpg">
          <a:extLst>
            <a:ext uri="{FF2B5EF4-FFF2-40B4-BE49-F238E27FC236}">
              <a16:creationId xmlns:a16="http://schemas.microsoft.com/office/drawing/2014/main" id="{00000000-0008-0000-0900-000024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548</xdr:row>
      <xdr:rowOff>0</xdr:rowOff>
    </xdr:from>
    <xdr:ext cx="381000" cy="381000"/>
    <xdr:pic>
      <xdr:nvPicPr>
        <xdr:cNvPr id="549" name="image53.jpg">
          <a:extLst>
            <a:ext uri="{FF2B5EF4-FFF2-40B4-BE49-F238E27FC236}">
              <a16:creationId xmlns:a16="http://schemas.microsoft.com/office/drawing/2014/main" id="{00000000-0008-0000-0900-000025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549</xdr:row>
      <xdr:rowOff>0</xdr:rowOff>
    </xdr:from>
    <xdr:ext cx="381000" cy="381000"/>
    <xdr:pic>
      <xdr:nvPicPr>
        <xdr:cNvPr id="550" name="image30.jpg">
          <a:extLst>
            <a:ext uri="{FF2B5EF4-FFF2-40B4-BE49-F238E27FC236}">
              <a16:creationId xmlns:a16="http://schemas.microsoft.com/office/drawing/2014/main" id="{00000000-0008-0000-0900-000026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550</xdr:row>
      <xdr:rowOff>0</xdr:rowOff>
    </xdr:from>
    <xdr:ext cx="381000" cy="381000"/>
    <xdr:pic>
      <xdr:nvPicPr>
        <xdr:cNvPr id="551" name="image30.jpg">
          <a:extLst>
            <a:ext uri="{FF2B5EF4-FFF2-40B4-BE49-F238E27FC236}">
              <a16:creationId xmlns:a16="http://schemas.microsoft.com/office/drawing/2014/main" id="{00000000-0008-0000-0900-000027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551</xdr:row>
      <xdr:rowOff>0</xdr:rowOff>
    </xdr:from>
    <xdr:ext cx="381000" cy="381000"/>
    <xdr:pic>
      <xdr:nvPicPr>
        <xdr:cNvPr id="552" name="image30.jpg">
          <a:extLst>
            <a:ext uri="{FF2B5EF4-FFF2-40B4-BE49-F238E27FC236}">
              <a16:creationId xmlns:a16="http://schemas.microsoft.com/office/drawing/2014/main" id="{00000000-0008-0000-0900-000028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552</xdr:row>
      <xdr:rowOff>0</xdr:rowOff>
    </xdr:from>
    <xdr:ext cx="381000" cy="381000"/>
    <xdr:pic>
      <xdr:nvPicPr>
        <xdr:cNvPr id="553" name="image30.jpg">
          <a:extLst>
            <a:ext uri="{FF2B5EF4-FFF2-40B4-BE49-F238E27FC236}">
              <a16:creationId xmlns:a16="http://schemas.microsoft.com/office/drawing/2014/main" id="{00000000-0008-0000-0900-000029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553</xdr:row>
      <xdr:rowOff>0</xdr:rowOff>
    </xdr:from>
    <xdr:ext cx="381000" cy="381000"/>
    <xdr:pic>
      <xdr:nvPicPr>
        <xdr:cNvPr id="554" name="image27.jpg">
          <a:extLst>
            <a:ext uri="{FF2B5EF4-FFF2-40B4-BE49-F238E27FC236}">
              <a16:creationId xmlns:a16="http://schemas.microsoft.com/office/drawing/2014/main" id="{00000000-0008-0000-0900-00002A02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554</xdr:row>
      <xdr:rowOff>0</xdr:rowOff>
    </xdr:from>
    <xdr:ext cx="381000" cy="381000"/>
    <xdr:pic>
      <xdr:nvPicPr>
        <xdr:cNvPr id="555" name="image53.jpg">
          <a:extLst>
            <a:ext uri="{FF2B5EF4-FFF2-40B4-BE49-F238E27FC236}">
              <a16:creationId xmlns:a16="http://schemas.microsoft.com/office/drawing/2014/main" id="{00000000-0008-0000-0900-00002B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555</xdr:row>
      <xdr:rowOff>0</xdr:rowOff>
    </xdr:from>
    <xdr:ext cx="381000" cy="381000"/>
    <xdr:pic>
      <xdr:nvPicPr>
        <xdr:cNvPr id="556" name="image53.jpg">
          <a:extLst>
            <a:ext uri="{FF2B5EF4-FFF2-40B4-BE49-F238E27FC236}">
              <a16:creationId xmlns:a16="http://schemas.microsoft.com/office/drawing/2014/main" id="{00000000-0008-0000-0900-00002C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556</xdr:row>
      <xdr:rowOff>0</xdr:rowOff>
    </xdr:from>
    <xdr:ext cx="381000" cy="381000"/>
    <xdr:pic>
      <xdr:nvPicPr>
        <xdr:cNvPr id="557" name="image30.jpg">
          <a:extLst>
            <a:ext uri="{FF2B5EF4-FFF2-40B4-BE49-F238E27FC236}">
              <a16:creationId xmlns:a16="http://schemas.microsoft.com/office/drawing/2014/main" id="{00000000-0008-0000-0900-00002D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557</xdr:row>
      <xdr:rowOff>0</xdr:rowOff>
    </xdr:from>
    <xdr:ext cx="381000" cy="381000"/>
    <xdr:pic>
      <xdr:nvPicPr>
        <xdr:cNvPr id="558" name="image30.jpg">
          <a:extLst>
            <a:ext uri="{FF2B5EF4-FFF2-40B4-BE49-F238E27FC236}">
              <a16:creationId xmlns:a16="http://schemas.microsoft.com/office/drawing/2014/main" id="{00000000-0008-0000-0900-00002E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558</xdr:row>
      <xdr:rowOff>0</xdr:rowOff>
    </xdr:from>
    <xdr:ext cx="381000" cy="381000"/>
    <xdr:pic>
      <xdr:nvPicPr>
        <xdr:cNvPr id="559" name="image30.jpg">
          <a:extLst>
            <a:ext uri="{FF2B5EF4-FFF2-40B4-BE49-F238E27FC236}">
              <a16:creationId xmlns:a16="http://schemas.microsoft.com/office/drawing/2014/main" id="{00000000-0008-0000-0900-00002F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559</xdr:row>
      <xdr:rowOff>0</xdr:rowOff>
    </xdr:from>
    <xdr:ext cx="381000" cy="381000"/>
    <xdr:pic>
      <xdr:nvPicPr>
        <xdr:cNvPr id="560" name="image30.jpg">
          <a:extLst>
            <a:ext uri="{FF2B5EF4-FFF2-40B4-BE49-F238E27FC236}">
              <a16:creationId xmlns:a16="http://schemas.microsoft.com/office/drawing/2014/main" id="{00000000-0008-0000-0900-000030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560</xdr:row>
      <xdr:rowOff>0</xdr:rowOff>
    </xdr:from>
    <xdr:ext cx="381000" cy="381000"/>
    <xdr:pic>
      <xdr:nvPicPr>
        <xdr:cNvPr id="561" name="image27.jpg">
          <a:extLst>
            <a:ext uri="{FF2B5EF4-FFF2-40B4-BE49-F238E27FC236}">
              <a16:creationId xmlns:a16="http://schemas.microsoft.com/office/drawing/2014/main" id="{00000000-0008-0000-0900-00003102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561</xdr:row>
      <xdr:rowOff>0</xdr:rowOff>
    </xdr:from>
    <xdr:ext cx="381000" cy="381000"/>
    <xdr:pic>
      <xdr:nvPicPr>
        <xdr:cNvPr id="562" name="image53.jpg">
          <a:extLst>
            <a:ext uri="{FF2B5EF4-FFF2-40B4-BE49-F238E27FC236}">
              <a16:creationId xmlns:a16="http://schemas.microsoft.com/office/drawing/2014/main" id="{00000000-0008-0000-0900-000032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562</xdr:row>
      <xdr:rowOff>0</xdr:rowOff>
    </xdr:from>
    <xdr:ext cx="381000" cy="381000"/>
    <xdr:pic>
      <xdr:nvPicPr>
        <xdr:cNvPr id="563" name="image53.jpg">
          <a:extLst>
            <a:ext uri="{FF2B5EF4-FFF2-40B4-BE49-F238E27FC236}">
              <a16:creationId xmlns:a16="http://schemas.microsoft.com/office/drawing/2014/main" id="{00000000-0008-0000-0900-000033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563</xdr:row>
      <xdr:rowOff>0</xdr:rowOff>
    </xdr:from>
    <xdr:ext cx="381000" cy="381000"/>
    <xdr:pic>
      <xdr:nvPicPr>
        <xdr:cNvPr id="564" name="image30.jpg">
          <a:extLst>
            <a:ext uri="{FF2B5EF4-FFF2-40B4-BE49-F238E27FC236}">
              <a16:creationId xmlns:a16="http://schemas.microsoft.com/office/drawing/2014/main" id="{00000000-0008-0000-0900-000034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564</xdr:row>
      <xdr:rowOff>0</xdr:rowOff>
    </xdr:from>
    <xdr:ext cx="381000" cy="381000"/>
    <xdr:pic>
      <xdr:nvPicPr>
        <xdr:cNvPr id="565" name="image30.jpg">
          <a:extLst>
            <a:ext uri="{FF2B5EF4-FFF2-40B4-BE49-F238E27FC236}">
              <a16:creationId xmlns:a16="http://schemas.microsoft.com/office/drawing/2014/main" id="{00000000-0008-0000-0900-000035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565</xdr:row>
      <xdr:rowOff>0</xdr:rowOff>
    </xdr:from>
    <xdr:ext cx="381000" cy="381000"/>
    <xdr:pic>
      <xdr:nvPicPr>
        <xdr:cNvPr id="566" name="image30.jpg">
          <a:extLst>
            <a:ext uri="{FF2B5EF4-FFF2-40B4-BE49-F238E27FC236}">
              <a16:creationId xmlns:a16="http://schemas.microsoft.com/office/drawing/2014/main" id="{00000000-0008-0000-0900-000036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566</xdr:row>
      <xdr:rowOff>0</xdr:rowOff>
    </xdr:from>
    <xdr:ext cx="381000" cy="381000"/>
    <xdr:pic>
      <xdr:nvPicPr>
        <xdr:cNvPr id="567" name="image30.jpg">
          <a:extLst>
            <a:ext uri="{FF2B5EF4-FFF2-40B4-BE49-F238E27FC236}">
              <a16:creationId xmlns:a16="http://schemas.microsoft.com/office/drawing/2014/main" id="{00000000-0008-0000-0900-00003702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xdr:col>
      <xdr:colOff>0</xdr:colOff>
      <xdr:row>567</xdr:row>
      <xdr:rowOff>0</xdr:rowOff>
    </xdr:from>
    <xdr:ext cx="381000" cy="381000"/>
    <xdr:pic>
      <xdr:nvPicPr>
        <xdr:cNvPr id="568" name="image27.jpg">
          <a:extLst>
            <a:ext uri="{FF2B5EF4-FFF2-40B4-BE49-F238E27FC236}">
              <a16:creationId xmlns:a16="http://schemas.microsoft.com/office/drawing/2014/main" id="{00000000-0008-0000-0900-00003802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xdr:col>
      <xdr:colOff>0</xdr:colOff>
      <xdr:row>568</xdr:row>
      <xdr:rowOff>0</xdr:rowOff>
    </xdr:from>
    <xdr:ext cx="381000" cy="381000"/>
    <xdr:pic>
      <xdr:nvPicPr>
        <xdr:cNvPr id="569" name="image176.png">
          <a:extLst>
            <a:ext uri="{FF2B5EF4-FFF2-40B4-BE49-F238E27FC236}">
              <a16:creationId xmlns:a16="http://schemas.microsoft.com/office/drawing/2014/main" id="{00000000-0008-0000-0900-00003902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569</xdr:row>
      <xdr:rowOff>0</xdr:rowOff>
    </xdr:from>
    <xdr:ext cx="381000" cy="381000"/>
    <xdr:pic>
      <xdr:nvPicPr>
        <xdr:cNvPr id="570" name="image85.jpg">
          <a:extLst>
            <a:ext uri="{FF2B5EF4-FFF2-40B4-BE49-F238E27FC236}">
              <a16:creationId xmlns:a16="http://schemas.microsoft.com/office/drawing/2014/main" id="{00000000-0008-0000-0900-00003A02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570</xdr:row>
      <xdr:rowOff>0</xdr:rowOff>
    </xdr:from>
    <xdr:ext cx="381000" cy="381000"/>
    <xdr:pic>
      <xdr:nvPicPr>
        <xdr:cNvPr id="571" name="image85.jpg">
          <a:extLst>
            <a:ext uri="{FF2B5EF4-FFF2-40B4-BE49-F238E27FC236}">
              <a16:creationId xmlns:a16="http://schemas.microsoft.com/office/drawing/2014/main" id="{00000000-0008-0000-0900-00003B02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571</xdr:row>
      <xdr:rowOff>0</xdr:rowOff>
    </xdr:from>
    <xdr:ext cx="381000" cy="381000"/>
    <xdr:pic>
      <xdr:nvPicPr>
        <xdr:cNvPr id="572" name="image176.png">
          <a:extLst>
            <a:ext uri="{FF2B5EF4-FFF2-40B4-BE49-F238E27FC236}">
              <a16:creationId xmlns:a16="http://schemas.microsoft.com/office/drawing/2014/main" id="{00000000-0008-0000-0900-00003C02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572</xdr:row>
      <xdr:rowOff>0</xdr:rowOff>
    </xdr:from>
    <xdr:ext cx="381000" cy="381000"/>
    <xdr:pic>
      <xdr:nvPicPr>
        <xdr:cNvPr id="573" name="image85.jpg">
          <a:extLst>
            <a:ext uri="{FF2B5EF4-FFF2-40B4-BE49-F238E27FC236}">
              <a16:creationId xmlns:a16="http://schemas.microsoft.com/office/drawing/2014/main" id="{00000000-0008-0000-0900-00003D02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573</xdr:row>
      <xdr:rowOff>0</xdr:rowOff>
    </xdr:from>
    <xdr:ext cx="381000" cy="381000"/>
    <xdr:pic>
      <xdr:nvPicPr>
        <xdr:cNvPr id="574" name="image85.jpg">
          <a:extLst>
            <a:ext uri="{FF2B5EF4-FFF2-40B4-BE49-F238E27FC236}">
              <a16:creationId xmlns:a16="http://schemas.microsoft.com/office/drawing/2014/main" id="{00000000-0008-0000-0900-00003E02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574</xdr:row>
      <xdr:rowOff>0</xdr:rowOff>
    </xdr:from>
    <xdr:ext cx="381000" cy="381000"/>
    <xdr:pic>
      <xdr:nvPicPr>
        <xdr:cNvPr id="575" name="image176.png">
          <a:extLst>
            <a:ext uri="{FF2B5EF4-FFF2-40B4-BE49-F238E27FC236}">
              <a16:creationId xmlns:a16="http://schemas.microsoft.com/office/drawing/2014/main" id="{00000000-0008-0000-0900-00003F02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575</xdr:row>
      <xdr:rowOff>0</xdr:rowOff>
    </xdr:from>
    <xdr:ext cx="381000" cy="381000"/>
    <xdr:pic>
      <xdr:nvPicPr>
        <xdr:cNvPr id="576" name="image85.jpg">
          <a:extLst>
            <a:ext uri="{FF2B5EF4-FFF2-40B4-BE49-F238E27FC236}">
              <a16:creationId xmlns:a16="http://schemas.microsoft.com/office/drawing/2014/main" id="{00000000-0008-0000-0900-00004002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576</xdr:row>
      <xdr:rowOff>0</xdr:rowOff>
    </xdr:from>
    <xdr:ext cx="381000" cy="381000"/>
    <xdr:pic>
      <xdr:nvPicPr>
        <xdr:cNvPr id="577" name="image85.jpg">
          <a:extLst>
            <a:ext uri="{FF2B5EF4-FFF2-40B4-BE49-F238E27FC236}">
              <a16:creationId xmlns:a16="http://schemas.microsoft.com/office/drawing/2014/main" id="{00000000-0008-0000-0900-00004102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577</xdr:row>
      <xdr:rowOff>0</xdr:rowOff>
    </xdr:from>
    <xdr:ext cx="381000" cy="381000"/>
    <xdr:pic>
      <xdr:nvPicPr>
        <xdr:cNvPr id="578" name="image176.png">
          <a:extLst>
            <a:ext uri="{FF2B5EF4-FFF2-40B4-BE49-F238E27FC236}">
              <a16:creationId xmlns:a16="http://schemas.microsoft.com/office/drawing/2014/main" id="{00000000-0008-0000-0900-00004202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xdr:col>
      <xdr:colOff>0</xdr:colOff>
      <xdr:row>578</xdr:row>
      <xdr:rowOff>0</xdr:rowOff>
    </xdr:from>
    <xdr:ext cx="381000" cy="381000"/>
    <xdr:pic>
      <xdr:nvPicPr>
        <xdr:cNvPr id="579" name="image85.jpg">
          <a:extLst>
            <a:ext uri="{FF2B5EF4-FFF2-40B4-BE49-F238E27FC236}">
              <a16:creationId xmlns:a16="http://schemas.microsoft.com/office/drawing/2014/main" id="{00000000-0008-0000-0900-00004302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xdr:col>
      <xdr:colOff>0</xdr:colOff>
      <xdr:row>579</xdr:row>
      <xdr:rowOff>0</xdr:rowOff>
    </xdr:from>
    <xdr:ext cx="381000" cy="381000"/>
    <xdr:pic>
      <xdr:nvPicPr>
        <xdr:cNvPr id="580" name="image153.png">
          <a:extLst>
            <a:ext uri="{FF2B5EF4-FFF2-40B4-BE49-F238E27FC236}">
              <a16:creationId xmlns:a16="http://schemas.microsoft.com/office/drawing/2014/main" id="{00000000-0008-0000-0900-00004402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580</xdr:row>
      <xdr:rowOff>0</xdr:rowOff>
    </xdr:from>
    <xdr:ext cx="381000" cy="381000"/>
    <xdr:pic>
      <xdr:nvPicPr>
        <xdr:cNvPr id="581" name="image79.jpg">
          <a:extLst>
            <a:ext uri="{FF2B5EF4-FFF2-40B4-BE49-F238E27FC236}">
              <a16:creationId xmlns:a16="http://schemas.microsoft.com/office/drawing/2014/main" id="{00000000-0008-0000-0900-00004502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xdr:col>
      <xdr:colOff>0</xdr:colOff>
      <xdr:row>581</xdr:row>
      <xdr:rowOff>0</xdr:rowOff>
    </xdr:from>
    <xdr:ext cx="381000" cy="381000"/>
    <xdr:pic>
      <xdr:nvPicPr>
        <xdr:cNvPr id="582" name="image79.jpg">
          <a:extLst>
            <a:ext uri="{FF2B5EF4-FFF2-40B4-BE49-F238E27FC236}">
              <a16:creationId xmlns:a16="http://schemas.microsoft.com/office/drawing/2014/main" id="{00000000-0008-0000-0900-00004602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xdr:col>
      <xdr:colOff>0</xdr:colOff>
      <xdr:row>582</xdr:row>
      <xdr:rowOff>0</xdr:rowOff>
    </xdr:from>
    <xdr:ext cx="381000" cy="381000"/>
    <xdr:pic>
      <xdr:nvPicPr>
        <xdr:cNvPr id="583" name="image79.jpg">
          <a:extLst>
            <a:ext uri="{FF2B5EF4-FFF2-40B4-BE49-F238E27FC236}">
              <a16:creationId xmlns:a16="http://schemas.microsoft.com/office/drawing/2014/main" id="{00000000-0008-0000-0900-00004702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xdr:col>
      <xdr:colOff>0</xdr:colOff>
      <xdr:row>583</xdr:row>
      <xdr:rowOff>0</xdr:rowOff>
    </xdr:from>
    <xdr:ext cx="381000" cy="381000"/>
    <xdr:pic>
      <xdr:nvPicPr>
        <xdr:cNvPr id="584" name="image153.png">
          <a:extLst>
            <a:ext uri="{FF2B5EF4-FFF2-40B4-BE49-F238E27FC236}">
              <a16:creationId xmlns:a16="http://schemas.microsoft.com/office/drawing/2014/main" id="{00000000-0008-0000-0900-00004802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584</xdr:row>
      <xdr:rowOff>0</xdr:rowOff>
    </xdr:from>
    <xdr:ext cx="381000" cy="381000"/>
    <xdr:pic>
      <xdr:nvPicPr>
        <xdr:cNvPr id="585" name="image53.jpg">
          <a:extLst>
            <a:ext uri="{FF2B5EF4-FFF2-40B4-BE49-F238E27FC236}">
              <a16:creationId xmlns:a16="http://schemas.microsoft.com/office/drawing/2014/main" id="{00000000-0008-0000-0900-000049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585</xdr:row>
      <xdr:rowOff>0</xdr:rowOff>
    </xdr:from>
    <xdr:ext cx="381000" cy="381000"/>
    <xdr:pic>
      <xdr:nvPicPr>
        <xdr:cNvPr id="586" name="image53.jpg">
          <a:extLst>
            <a:ext uri="{FF2B5EF4-FFF2-40B4-BE49-F238E27FC236}">
              <a16:creationId xmlns:a16="http://schemas.microsoft.com/office/drawing/2014/main" id="{00000000-0008-0000-0900-00004A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586</xdr:row>
      <xdr:rowOff>0</xdr:rowOff>
    </xdr:from>
    <xdr:ext cx="381000" cy="381000"/>
    <xdr:pic>
      <xdr:nvPicPr>
        <xdr:cNvPr id="587" name="image256.jpg">
          <a:extLst>
            <a:ext uri="{FF2B5EF4-FFF2-40B4-BE49-F238E27FC236}">
              <a16:creationId xmlns:a16="http://schemas.microsoft.com/office/drawing/2014/main" id="{00000000-0008-0000-0900-00004B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587</xdr:row>
      <xdr:rowOff>0</xdr:rowOff>
    </xdr:from>
    <xdr:ext cx="381000" cy="381000"/>
    <xdr:pic>
      <xdr:nvPicPr>
        <xdr:cNvPr id="588" name="image256.jpg">
          <a:extLst>
            <a:ext uri="{FF2B5EF4-FFF2-40B4-BE49-F238E27FC236}">
              <a16:creationId xmlns:a16="http://schemas.microsoft.com/office/drawing/2014/main" id="{00000000-0008-0000-0900-00004C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588</xdr:row>
      <xdr:rowOff>0</xdr:rowOff>
    </xdr:from>
    <xdr:ext cx="381000" cy="381000"/>
    <xdr:pic>
      <xdr:nvPicPr>
        <xdr:cNvPr id="589" name="image256.jpg">
          <a:extLst>
            <a:ext uri="{FF2B5EF4-FFF2-40B4-BE49-F238E27FC236}">
              <a16:creationId xmlns:a16="http://schemas.microsoft.com/office/drawing/2014/main" id="{00000000-0008-0000-0900-00004D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589</xdr:row>
      <xdr:rowOff>0</xdr:rowOff>
    </xdr:from>
    <xdr:ext cx="381000" cy="381000"/>
    <xdr:pic>
      <xdr:nvPicPr>
        <xdr:cNvPr id="590" name="image256.jpg">
          <a:extLst>
            <a:ext uri="{FF2B5EF4-FFF2-40B4-BE49-F238E27FC236}">
              <a16:creationId xmlns:a16="http://schemas.microsoft.com/office/drawing/2014/main" id="{00000000-0008-0000-0900-00004E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590</xdr:row>
      <xdr:rowOff>0</xdr:rowOff>
    </xdr:from>
    <xdr:ext cx="381000" cy="381000"/>
    <xdr:pic>
      <xdr:nvPicPr>
        <xdr:cNvPr id="591" name="image256.jpg">
          <a:extLst>
            <a:ext uri="{FF2B5EF4-FFF2-40B4-BE49-F238E27FC236}">
              <a16:creationId xmlns:a16="http://schemas.microsoft.com/office/drawing/2014/main" id="{00000000-0008-0000-0900-00004F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591</xdr:row>
      <xdr:rowOff>0</xdr:rowOff>
    </xdr:from>
    <xdr:ext cx="381000" cy="381000"/>
    <xdr:pic>
      <xdr:nvPicPr>
        <xdr:cNvPr id="592" name="image256.jpg">
          <a:extLst>
            <a:ext uri="{FF2B5EF4-FFF2-40B4-BE49-F238E27FC236}">
              <a16:creationId xmlns:a16="http://schemas.microsoft.com/office/drawing/2014/main" id="{00000000-0008-0000-0900-000050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592</xdr:row>
      <xdr:rowOff>0</xdr:rowOff>
    </xdr:from>
    <xdr:ext cx="381000" cy="381000"/>
    <xdr:pic>
      <xdr:nvPicPr>
        <xdr:cNvPr id="593" name="image1.jpg">
          <a:extLst>
            <a:ext uri="{FF2B5EF4-FFF2-40B4-BE49-F238E27FC236}">
              <a16:creationId xmlns:a16="http://schemas.microsoft.com/office/drawing/2014/main" id="{00000000-0008-0000-0900-00005102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593</xdr:row>
      <xdr:rowOff>0</xdr:rowOff>
    </xdr:from>
    <xdr:ext cx="381000" cy="381000"/>
    <xdr:pic>
      <xdr:nvPicPr>
        <xdr:cNvPr id="594" name="image53.jpg">
          <a:extLst>
            <a:ext uri="{FF2B5EF4-FFF2-40B4-BE49-F238E27FC236}">
              <a16:creationId xmlns:a16="http://schemas.microsoft.com/office/drawing/2014/main" id="{00000000-0008-0000-0900-000052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594</xdr:row>
      <xdr:rowOff>0</xdr:rowOff>
    </xdr:from>
    <xdr:ext cx="381000" cy="381000"/>
    <xdr:pic>
      <xdr:nvPicPr>
        <xdr:cNvPr id="595" name="image53.jpg">
          <a:extLst>
            <a:ext uri="{FF2B5EF4-FFF2-40B4-BE49-F238E27FC236}">
              <a16:creationId xmlns:a16="http://schemas.microsoft.com/office/drawing/2014/main" id="{00000000-0008-0000-0900-000053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595</xdr:row>
      <xdr:rowOff>0</xdr:rowOff>
    </xdr:from>
    <xdr:ext cx="381000" cy="381000"/>
    <xdr:pic>
      <xdr:nvPicPr>
        <xdr:cNvPr id="596" name="image256.jpg">
          <a:extLst>
            <a:ext uri="{FF2B5EF4-FFF2-40B4-BE49-F238E27FC236}">
              <a16:creationId xmlns:a16="http://schemas.microsoft.com/office/drawing/2014/main" id="{00000000-0008-0000-0900-000054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596</xdr:row>
      <xdr:rowOff>0</xdr:rowOff>
    </xdr:from>
    <xdr:ext cx="381000" cy="381000"/>
    <xdr:pic>
      <xdr:nvPicPr>
        <xdr:cNvPr id="597" name="image256.jpg">
          <a:extLst>
            <a:ext uri="{FF2B5EF4-FFF2-40B4-BE49-F238E27FC236}">
              <a16:creationId xmlns:a16="http://schemas.microsoft.com/office/drawing/2014/main" id="{00000000-0008-0000-0900-000055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597</xdr:row>
      <xdr:rowOff>0</xdr:rowOff>
    </xdr:from>
    <xdr:ext cx="381000" cy="381000"/>
    <xdr:pic>
      <xdr:nvPicPr>
        <xdr:cNvPr id="598" name="image256.jpg">
          <a:extLst>
            <a:ext uri="{FF2B5EF4-FFF2-40B4-BE49-F238E27FC236}">
              <a16:creationId xmlns:a16="http://schemas.microsoft.com/office/drawing/2014/main" id="{00000000-0008-0000-0900-000056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598</xdr:row>
      <xdr:rowOff>0</xdr:rowOff>
    </xdr:from>
    <xdr:ext cx="381000" cy="381000"/>
    <xdr:pic>
      <xdr:nvPicPr>
        <xdr:cNvPr id="599" name="image256.jpg">
          <a:extLst>
            <a:ext uri="{FF2B5EF4-FFF2-40B4-BE49-F238E27FC236}">
              <a16:creationId xmlns:a16="http://schemas.microsoft.com/office/drawing/2014/main" id="{00000000-0008-0000-0900-000057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599</xdr:row>
      <xdr:rowOff>0</xdr:rowOff>
    </xdr:from>
    <xdr:ext cx="381000" cy="381000"/>
    <xdr:pic>
      <xdr:nvPicPr>
        <xdr:cNvPr id="600" name="image256.jpg">
          <a:extLst>
            <a:ext uri="{FF2B5EF4-FFF2-40B4-BE49-F238E27FC236}">
              <a16:creationId xmlns:a16="http://schemas.microsoft.com/office/drawing/2014/main" id="{00000000-0008-0000-0900-000058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600</xdr:row>
      <xdr:rowOff>0</xdr:rowOff>
    </xdr:from>
    <xdr:ext cx="381000" cy="381000"/>
    <xdr:pic>
      <xdr:nvPicPr>
        <xdr:cNvPr id="601" name="image256.jpg">
          <a:extLst>
            <a:ext uri="{FF2B5EF4-FFF2-40B4-BE49-F238E27FC236}">
              <a16:creationId xmlns:a16="http://schemas.microsoft.com/office/drawing/2014/main" id="{00000000-0008-0000-0900-000059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601</xdr:row>
      <xdr:rowOff>0</xdr:rowOff>
    </xdr:from>
    <xdr:ext cx="381000" cy="381000"/>
    <xdr:pic>
      <xdr:nvPicPr>
        <xdr:cNvPr id="602" name="image1.jpg">
          <a:extLst>
            <a:ext uri="{FF2B5EF4-FFF2-40B4-BE49-F238E27FC236}">
              <a16:creationId xmlns:a16="http://schemas.microsoft.com/office/drawing/2014/main" id="{00000000-0008-0000-0900-00005A02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602</xdr:row>
      <xdr:rowOff>0</xdr:rowOff>
    </xdr:from>
    <xdr:ext cx="381000" cy="381000"/>
    <xdr:pic>
      <xdr:nvPicPr>
        <xdr:cNvPr id="603" name="image53.jpg">
          <a:extLst>
            <a:ext uri="{FF2B5EF4-FFF2-40B4-BE49-F238E27FC236}">
              <a16:creationId xmlns:a16="http://schemas.microsoft.com/office/drawing/2014/main" id="{00000000-0008-0000-0900-00005B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603</xdr:row>
      <xdr:rowOff>0</xdr:rowOff>
    </xdr:from>
    <xdr:ext cx="381000" cy="381000"/>
    <xdr:pic>
      <xdr:nvPicPr>
        <xdr:cNvPr id="604" name="image53.jpg">
          <a:extLst>
            <a:ext uri="{FF2B5EF4-FFF2-40B4-BE49-F238E27FC236}">
              <a16:creationId xmlns:a16="http://schemas.microsoft.com/office/drawing/2014/main" id="{00000000-0008-0000-0900-00005C02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xdr:col>
      <xdr:colOff>0</xdr:colOff>
      <xdr:row>604</xdr:row>
      <xdr:rowOff>0</xdr:rowOff>
    </xdr:from>
    <xdr:ext cx="381000" cy="381000"/>
    <xdr:pic>
      <xdr:nvPicPr>
        <xdr:cNvPr id="605" name="image256.jpg">
          <a:extLst>
            <a:ext uri="{FF2B5EF4-FFF2-40B4-BE49-F238E27FC236}">
              <a16:creationId xmlns:a16="http://schemas.microsoft.com/office/drawing/2014/main" id="{00000000-0008-0000-0900-00005D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605</xdr:row>
      <xdr:rowOff>0</xdr:rowOff>
    </xdr:from>
    <xdr:ext cx="381000" cy="381000"/>
    <xdr:pic>
      <xdr:nvPicPr>
        <xdr:cNvPr id="606" name="image256.jpg">
          <a:extLst>
            <a:ext uri="{FF2B5EF4-FFF2-40B4-BE49-F238E27FC236}">
              <a16:creationId xmlns:a16="http://schemas.microsoft.com/office/drawing/2014/main" id="{00000000-0008-0000-0900-00005E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606</xdr:row>
      <xdr:rowOff>0</xdr:rowOff>
    </xdr:from>
    <xdr:ext cx="381000" cy="381000"/>
    <xdr:pic>
      <xdr:nvPicPr>
        <xdr:cNvPr id="607" name="image256.jpg">
          <a:extLst>
            <a:ext uri="{FF2B5EF4-FFF2-40B4-BE49-F238E27FC236}">
              <a16:creationId xmlns:a16="http://schemas.microsoft.com/office/drawing/2014/main" id="{00000000-0008-0000-0900-00005F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607</xdr:row>
      <xdr:rowOff>0</xdr:rowOff>
    </xdr:from>
    <xdr:ext cx="381000" cy="381000"/>
    <xdr:pic>
      <xdr:nvPicPr>
        <xdr:cNvPr id="608" name="image256.jpg">
          <a:extLst>
            <a:ext uri="{FF2B5EF4-FFF2-40B4-BE49-F238E27FC236}">
              <a16:creationId xmlns:a16="http://schemas.microsoft.com/office/drawing/2014/main" id="{00000000-0008-0000-0900-000060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608</xdr:row>
      <xdr:rowOff>0</xdr:rowOff>
    </xdr:from>
    <xdr:ext cx="381000" cy="381000"/>
    <xdr:pic>
      <xdr:nvPicPr>
        <xdr:cNvPr id="609" name="image256.jpg">
          <a:extLst>
            <a:ext uri="{FF2B5EF4-FFF2-40B4-BE49-F238E27FC236}">
              <a16:creationId xmlns:a16="http://schemas.microsoft.com/office/drawing/2014/main" id="{00000000-0008-0000-0900-000061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609</xdr:row>
      <xdr:rowOff>0</xdr:rowOff>
    </xdr:from>
    <xdr:ext cx="381000" cy="381000"/>
    <xdr:pic>
      <xdr:nvPicPr>
        <xdr:cNvPr id="610" name="image256.jpg">
          <a:extLst>
            <a:ext uri="{FF2B5EF4-FFF2-40B4-BE49-F238E27FC236}">
              <a16:creationId xmlns:a16="http://schemas.microsoft.com/office/drawing/2014/main" id="{00000000-0008-0000-0900-00006202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xdr:col>
      <xdr:colOff>0</xdr:colOff>
      <xdr:row>610</xdr:row>
      <xdr:rowOff>0</xdr:rowOff>
    </xdr:from>
    <xdr:ext cx="381000" cy="381000"/>
    <xdr:pic>
      <xdr:nvPicPr>
        <xdr:cNvPr id="611" name="image153.png">
          <a:extLst>
            <a:ext uri="{FF2B5EF4-FFF2-40B4-BE49-F238E27FC236}">
              <a16:creationId xmlns:a16="http://schemas.microsoft.com/office/drawing/2014/main" id="{00000000-0008-0000-0900-00006302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611</xdr:row>
      <xdr:rowOff>0</xdr:rowOff>
    </xdr:from>
    <xdr:ext cx="381000" cy="381000"/>
    <xdr:pic>
      <xdr:nvPicPr>
        <xdr:cNvPr id="612" name="image180.jpg">
          <a:extLst>
            <a:ext uri="{FF2B5EF4-FFF2-40B4-BE49-F238E27FC236}">
              <a16:creationId xmlns:a16="http://schemas.microsoft.com/office/drawing/2014/main" id="{00000000-0008-0000-0900-000064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612</xdr:row>
      <xdr:rowOff>0</xdr:rowOff>
    </xdr:from>
    <xdr:ext cx="381000" cy="381000"/>
    <xdr:pic>
      <xdr:nvPicPr>
        <xdr:cNvPr id="613" name="image180.jpg">
          <a:extLst>
            <a:ext uri="{FF2B5EF4-FFF2-40B4-BE49-F238E27FC236}">
              <a16:creationId xmlns:a16="http://schemas.microsoft.com/office/drawing/2014/main" id="{00000000-0008-0000-0900-000065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613</xdr:row>
      <xdr:rowOff>0</xdr:rowOff>
    </xdr:from>
    <xdr:ext cx="381000" cy="381000"/>
    <xdr:pic>
      <xdr:nvPicPr>
        <xdr:cNvPr id="614" name="image180.jpg">
          <a:extLst>
            <a:ext uri="{FF2B5EF4-FFF2-40B4-BE49-F238E27FC236}">
              <a16:creationId xmlns:a16="http://schemas.microsoft.com/office/drawing/2014/main" id="{00000000-0008-0000-0900-000066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614</xdr:row>
      <xdr:rowOff>0</xdr:rowOff>
    </xdr:from>
    <xdr:ext cx="381000" cy="381000"/>
    <xdr:pic>
      <xdr:nvPicPr>
        <xdr:cNvPr id="615" name="image180.jpg">
          <a:extLst>
            <a:ext uri="{FF2B5EF4-FFF2-40B4-BE49-F238E27FC236}">
              <a16:creationId xmlns:a16="http://schemas.microsoft.com/office/drawing/2014/main" id="{00000000-0008-0000-0900-000067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615</xdr:row>
      <xdr:rowOff>0</xdr:rowOff>
    </xdr:from>
    <xdr:ext cx="381000" cy="381000"/>
    <xdr:pic>
      <xdr:nvPicPr>
        <xdr:cNvPr id="616" name="image180.jpg">
          <a:extLst>
            <a:ext uri="{FF2B5EF4-FFF2-40B4-BE49-F238E27FC236}">
              <a16:creationId xmlns:a16="http://schemas.microsoft.com/office/drawing/2014/main" id="{00000000-0008-0000-0900-000068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616</xdr:row>
      <xdr:rowOff>0</xdr:rowOff>
    </xdr:from>
    <xdr:ext cx="381000" cy="381000"/>
    <xdr:pic>
      <xdr:nvPicPr>
        <xdr:cNvPr id="617" name="image180.jpg">
          <a:extLst>
            <a:ext uri="{FF2B5EF4-FFF2-40B4-BE49-F238E27FC236}">
              <a16:creationId xmlns:a16="http://schemas.microsoft.com/office/drawing/2014/main" id="{00000000-0008-0000-0900-000069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617</xdr:row>
      <xdr:rowOff>0</xdr:rowOff>
    </xdr:from>
    <xdr:ext cx="381000" cy="381000"/>
    <xdr:pic>
      <xdr:nvPicPr>
        <xdr:cNvPr id="618" name="image180.jpg">
          <a:extLst>
            <a:ext uri="{FF2B5EF4-FFF2-40B4-BE49-F238E27FC236}">
              <a16:creationId xmlns:a16="http://schemas.microsoft.com/office/drawing/2014/main" id="{00000000-0008-0000-0900-00006A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618</xdr:row>
      <xdr:rowOff>0</xdr:rowOff>
    </xdr:from>
    <xdr:ext cx="381000" cy="381000"/>
    <xdr:pic>
      <xdr:nvPicPr>
        <xdr:cNvPr id="619" name="image180.jpg">
          <a:extLst>
            <a:ext uri="{FF2B5EF4-FFF2-40B4-BE49-F238E27FC236}">
              <a16:creationId xmlns:a16="http://schemas.microsoft.com/office/drawing/2014/main" id="{00000000-0008-0000-0900-00006B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619</xdr:row>
      <xdr:rowOff>0</xdr:rowOff>
    </xdr:from>
    <xdr:ext cx="381000" cy="381000"/>
    <xdr:pic>
      <xdr:nvPicPr>
        <xdr:cNvPr id="620" name="image180.jpg">
          <a:extLst>
            <a:ext uri="{FF2B5EF4-FFF2-40B4-BE49-F238E27FC236}">
              <a16:creationId xmlns:a16="http://schemas.microsoft.com/office/drawing/2014/main" id="{00000000-0008-0000-0900-00006C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620</xdr:row>
      <xdr:rowOff>0</xdr:rowOff>
    </xdr:from>
    <xdr:ext cx="381000" cy="381000"/>
    <xdr:pic>
      <xdr:nvPicPr>
        <xdr:cNvPr id="621" name="image180.jpg">
          <a:extLst>
            <a:ext uri="{FF2B5EF4-FFF2-40B4-BE49-F238E27FC236}">
              <a16:creationId xmlns:a16="http://schemas.microsoft.com/office/drawing/2014/main" id="{00000000-0008-0000-0900-00006D02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xdr:col>
      <xdr:colOff>0</xdr:colOff>
      <xdr:row>621</xdr:row>
      <xdr:rowOff>0</xdr:rowOff>
    </xdr:from>
    <xdr:ext cx="381000" cy="381000"/>
    <xdr:pic>
      <xdr:nvPicPr>
        <xdr:cNvPr id="622" name="image1.jpg">
          <a:extLst>
            <a:ext uri="{FF2B5EF4-FFF2-40B4-BE49-F238E27FC236}">
              <a16:creationId xmlns:a16="http://schemas.microsoft.com/office/drawing/2014/main" id="{00000000-0008-0000-0900-00006E02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622</xdr:row>
      <xdr:rowOff>0</xdr:rowOff>
    </xdr:from>
    <xdr:ext cx="381000" cy="381000"/>
    <xdr:pic>
      <xdr:nvPicPr>
        <xdr:cNvPr id="623" name="image1.jpg">
          <a:extLst>
            <a:ext uri="{FF2B5EF4-FFF2-40B4-BE49-F238E27FC236}">
              <a16:creationId xmlns:a16="http://schemas.microsoft.com/office/drawing/2014/main" id="{00000000-0008-0000-0900-00006F02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623</xdr:row>
      <xdr:rowOff>0</xdr:rowOff>
    </xdr:from>
    <xdr:ext cx="381000" cy="381000"/>
    <xdr:pic>
      <xdr:nvPicPr>
        <xdr:cNvPr id="624" name="image1.jpg">
          <a:extLst>
            <a:ext uri="{FF2B5EF4-FFF2-40B4-BE49-F238E27FC236}">
              <a16:creationId xmlns:a16="http://schemas.microsoft.com/office/drawing/2014/main" id="{00000000-0008-0000-0900-00007002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624</xdr:row>
      <xdr:rowOff>0</xdr:rowOff>
    </xdr:from>
    <xdr:ext cx="381000" cy="381000"/>
    <xdr:pic>
      <xdr:nvPicPr>
        <xdr:cNvPr id="625" name="image1.jpg">
          <a:extLst>
            <a:ext uri="{FF2B5EF4-FFF2-40B4-BE49-F238E27FC236}">
              <a16:creationId xmlns:a16="http://schemas.microsoft.com/office/drawing/2014/main" id="{00000000-0008-0000-0900-00007102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625</xdr:row>
      <xdr:rowOff>0</xdr:rowOff>
    </xdr:from>
    <xdr:ext cx="381000" cy="381000"/>
    <xdr:pic>
      <xdr:nvPicPr>
        <xdr:cNvPr id="626" name="image83.jpg">
          <a:extLst>
            <a:ext uri="{FF2B5EF4-FFF2-40B4-BE49-F238E27FC236}">
              <a16:creationId xmlns:a16="http://schemas.microsoft.com/office/drawing/2014/main" id="{00000000-0008-0000-0900-00007202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xdr:col>
      <xdr:colOff>0</xdr:colOff>
      <xdr:row>626</xdr:row>
      <xdr:rowOff>0</xdr:rowOff>
    </xdr:from>
    <xdr:ext cx="381000" cy="381000"/>
    <xdr:pic>
      <xdr:nvPicPr>
        <xdr:cNvPr id="627" name="image153.png">
          <a:extLst>
            <a:ext uri="{FF2B5EF4-FFF2-40B4-BE49-F238E27FC236}">
              <a16:creationId xmlns:a16="http://schemas.microsoft.com/office/drawing/2014/main" id="{00000000-0008-0000-0900-00007302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627</xdr:row>
      <xdr:rowOff>0</xdr:rowOff>
    </xdr:from>
    <xdr:ext cx="381000" cy="381000"/>
    <xdr:pic>
      <xdr:nvPicPr>
        <xdr:cNvPr id="628" name="image1.jpg">
          <a:extLst>
            <a:ext uri="{FF2B5EF4-FFF2-40B4-BE49-F238E27FC236}">
              <a16:creationId xmlns:a16="http://schemas.microsoft.com/office/drawing/2014/main" id="{00000000-0008-0000-0900-00007402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628</xdr:row>
      <xdr:rowOff>0</xdr:rowOff>
    </xdr:from>
    <xdr:ext cx="381000" cy="381000"/>
    <xdr:pic>
      <xdr:nvPicPr>
        <xdr:cNvPr id="629" name="image1.jpg">
          <a:extLst>
            <a:ext uri="{FF2B5EF4-FFF2-40B4-BE49-F238E27FC236}">
              <a16:creationId xmlns:a16="http://schemas.microsoft.com/office/drawing/2014/main" id="{00000000-0008-0000-0900-00007502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629</xdr:row>
      <xdr:rowOff>0</xdr:rowOff>
    </xdr:from>
    <xdr:ext cx="381000" cy="381000"/>
    <xdr:pic>
      <xdr:nvPicPr>
        <xdr:cNvPr id="630" name="image1.jpg">
          <a:extLst>
            <a:ext uri="{FF2B5EF4-FFF2-40B4-BE49-F238E27FC236}">
              <a16:creationId xmlns:a16="http://schemas.microsoft.com/office/drawing/2014/main" id="{00000000-0008-0000-0900-00007602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630</xdr:row>
      <xdr:rowOff>0</xdr:rowOff>
    </xdr:from>
    <xdr:ext cx="381000" cy="381000"/>
    <xdr:pic>
      <xdr:nvPicPr>
        <xdr:cNvPr id="631" name="image153.png">
          <a:extLst>
            <a:ext uri="{FF2B5EF4-FFF2-40B4-BE49-F238E27FC236}">
              <a16:creationId xmlns:a16="http://schemas.microsoft.com/office/drawing/2014/main" id="{00000000-0008-0000-0900-00007702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631</xdr:row>
      <xdr:rowOff>0</xdr:rowOff>
    </xdr:from>
    <xdr:ext cx="381000" cy="381000"/>
    <xdr:pic>
      <xdr:nvPicPr>
        <xdr:cNvPr id="632" name="image260.jpg">
          <a:extLst>
            <a:ext uri="{FF2B5EF4-FFF2-40B4-BE49-F238E27FC236}">
              <a16:creationId xmlns:a16="http://schemas.microsoft.com/office/drawing/2014/main" id="{00000000-0008-0000-0900-000078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632</xdr:row>
      <xdr:rowOff>0</xdr:rowOff>
    </xdr:from>
    <xdr:ext cx="381000" cy="381000"/>
    <xdr:pic>
      <xdr:nvPicPr>
        <xdr:cNvPr id="633" name="image260.jpg">
          <a:extLst>
            <a:ext uri="{FF2B5EF4-FFF2-40B4-BE49-F238E27FC236}">
              <a16:creationId xmlns:a16="http://schemas.microsoft.com/office/drawing/2014/main" id="{00000000-0008-0000-0900-000079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633</xdr:row>
      <xdr:rowOff>0</xdr:rowOff>
    </xdr:from>
    <xdr:ext cx="381000" cy="381000"/>
    <xdr:pic>
      <xdr:nvPicPr>
        <xdr:cNvPr id="634" name="image260.jpg">
          <a:extLst>
            <a:ext uri="{FF2B5EF4-FFF2-40B4-BE49-F238E27FC236}">
              <a16:creationId xmlns:a16="http://schemas.microsoft.com/office/drawing/2014/main" id="{00000000-0008-0000-0900-00007A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634</xdr:row>
      <xdr:rowOff>0</xdr:rowOff>
    </xdr:from>
    <xdr:ext cx="381000" cy="381000"/>
    <xdr:pic>
      <xdr:nvPicPr>
        <xdr:cNvPr id="635" name="image26.jpg">
          <a:extLst>
            <a:ext uri="{FF2B5EF4-FFF2-40B4-BE49-F238E27FC236}">
              <a16:creationId xmlns:a16="http://schemas.microsoft.com/office/drawing/2014/main" id="{00000000-0008-0000-0900-00007B02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635</xdr:row>
      <xdr:rowOff>0</xdr:rowOff>
    </xdr:from>
    <xdr:ext cx="381000" cy="381000"/>
    <xdr:pic>
      <xdr:nvPicPr>
        <xdr:cNvPr id="636" name="image14.jpg">
          <a:extLst>
            <a:ext uri="{FF2B5EF4-FFF2-40B4-BE49-F238E27FC236}">
              <a16:creationId xmlns:a16="http://schemas.microsoft.com/office/drawing/2014/main" id="{00000000-0008-0000-0900-00007C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636</xdr:row>
      <xdr:rowOff>0</xdr:rowOff>
    </xdr:from>
    <xdr:ext cx="381000" cy="381000"/>
    <xdr:pic>
      <xdr:nvPicPr>
        <xdr:cNvPr id="637" name="image260.jpg">
          <a:extLst>
            <a:ext uri="{FF2B5EF4-FFF2-40B4-BE49-F238E27FC236}">
              <a16:creationId xmlns:a16="http://schemas.microsoft.com/office/drawing/2014/main" id="{00000000-0008-0000-0900-00007D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637</xdr:row>
      <xdr:rowOff>0</xdr:rowOff>
    </xdr:from>
    <xdr:ext cx="381000" cy="381000"/>
    <xdr:pic>
      <xdr:nvPicPr>
        <xdr:cNvPr id="638" name="image260.jpg">
          <a:extLst>
            <a:ext uri="{FF2B5EF4-FFF2-40B4-BE49-F238E27FC236}">
              <a16:creationId xmlns:a16="http://schemas.microsoft.com/office/drawing/2014/main" id="{00000000-0008-0000-0900-00007E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638</xdr:row>
      <xdr:rowOff>0</xdr:rowOff>
    </xdr:from>
    <xdr:ext cx="381000" cy="381000"/>
    <xdr:pic>
      <xdr:nvPicPr>
        <xdr:cNvPr id="639" name="image260.jpg">
          <a:extLst>
            <a:ext uri="{FF2B5EF4-FFF2-40B4-BE49-F238E27FC236}">
              <a16:creationId xmlns:a16="http://schemas.microsoft.com/office/drawing/2014/main" id="{00000000-0008-0000-0900-00007F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639</xdr:row>
      <xdr:rowOff>0</xdr:rowOff>
    </xdr:from>
    <xdr:ext cx="381000" cy="381000"/>
    <xdr:pic>
      <xdr:nvPicPr>
        <xdr:cNvPr id="640" name="image26.jpg">
          <a:extLst>
            <a:ext uri="{FF2B5EF4-FFF2-40B4-BE49-F238E27FC236}">
              <a16:creationId xmlns:a16="http://schemas.microsoft.com/office/drawing/2014/main" id="{00000000-0008-0000-0900-00008002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640</xdr:row>
      <xdr:rowOff>0</xdr:rowOff>
    </xdr:from>
    <xdr:ext cx="381000" cy="381000"/>
    <xdr:pic>
      <xdr:nvPicPr>
        <xdr:cNvPr id="641" name="image14.jpg">
          <a:extLst>
            <a:ext uri="{FF2B5EF4-FFF2-40B4-BE49-F238E27FC236}">
              <a16:creationId xmlns:a16="http://schemas.microsoft.com/office/drawing/2014/main" id="{00000000-0008-0000-0900-000081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641</xdr:row>
      <xdr:rowOff>0</xdr:rowOff>
    </xdr:from>
    <xdr:ext cx="381000" cy="381000"/>
    <xdr:pic>
      <xdr:nvPicPr>
        <xdr:cNvPr id="642" name="image260.jpg">
          <a:extLst>
            <a:ext uri="{FF2B5EF4-FFF2-40B4-BE49-F238E27FC236}">
              <a16:creationId xmlns:a16="http://schemas.microsoft.com/office/drawing/2014/main" id="{00000000-0008-0000-0900-000082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642</xdr:row>
      <xdr:rowOff>0</xdr:rowOff>
    </xdr:from>
    <xdr:ext cx="381000" cy="381000"/>
    <xdr:pic>
      <xdr:nvPicPr>
        <xdr:cNvPr id="643" name="image260.jpg">
          <a:extLst>
            <a:ext uri="{FF2B5EF4-FFF2-40B4-BE49-F238E27FC236}">
              <a16:creationId xmlns:a16="http://schemas.microsoft.com/office/drawing/2014/main" id="{00000000-0008-0000-0900-000083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643</xdr:row>
      <xdr:rowOff>0</xdr:rowOff>
    </xdr:from>
    <xdr:ext cx="381000" cy="381000"/>
    <xdr:pic>
      <xdr:nvPicPr>
        <xdr:cNvPr id="644" name="image260.jpg">
          <a:extLst>
            <a:ext uri="{FF2B5EF4-FFF2-40B4-BE49-F238E27FC236}">
              <a16:creationId xmlns:a16="http://schemas.microsoft.com/office/drawing/2014/main" id="{00000000-0008-0000-0900-000084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644</xdr:row>
      <xdr:rowOff>0</xdr:rowOff>
    </xdr:from>
    <xdr:ext cx="381000" cy="381000"/>
    <xdr:pic>
      <xdr:nvPicPr>
        <xdr:cNvPr id="645" name="image26.jpg">
          <a:extLst>
            <a:ext uri="{FF2B5EF4-FFF2-40B4-BE49-F238E27FC236}">
              <a16:creationId xmlns:a16="http://schemas.microsoft.com/office/drawing/2014/main" id="{00000000-0008-0000-0900-00008502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645</xdr:row>
      <xdr:rowOff>0</xdr:rowOff>
    </xdr:from>
    <xdr:ext cx="381000" cy="381000"/>
    <xdr:pic>
      <xdr:nvPicPr>
        <xdr:cNvPr id="646" name="image14.jpg">
          <a:extLst>
            <a:ext uri="{FF2B5EF4-FFF2-40B4-BE49-F238E27FC236}">
              <a16:creationId xmlns:a16="http://schemas.microsoft.com/office/drawing/2014/main" id="{00000000-0008-0000-0900-000086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646</xdr:row>
      <xdr:rowOff>0</xdr:rowOff>
    </xdr:from>
    <xdr:ext cx="381000" cy="381000"/>
    <xdr:pic>
      <xdr:nvPicPr>
        <xdr:cNvPr id="647" name="image260.jpg">
          <a:extLst>
            <a:ext uri="{FF2B5EF4-FFF2-40B4-BE49-F238E27FC236}">
              <a16:creationId xmlns:a16="http://schemas.microsoft.com/office/drawing/2014/main" id="{00000000-0008-0000-0900-000087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647</xdr:row>
      <xdr:rowOff>0</xdr:rowOff>
    </xdr:from>
    <xdr:ext cx="381000" cy="381000"/>
    <xdr:pic>
      <xdr:nvPicPr>
        <xdr:cNvPr id="648" name="image260.jpg">
          <a:extLst>
            <a:ext uri="{FF2B5EF4-FFF2-40B4-BE49-F238E27FC236}">
              <a16:creationId xmlns:a16="http://schemas.microsoft.com/office/drawing/2014/main" id="{00000000-0008-0000-0900-000088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648</xdr:row>
      <xdr:rowOff>0</xdr:rowOff>
    </xdr:from>
    <xdr:ext cx="381000" cy="381000"/>
    <xdr:pic>
      <xdr:nvPicPr>
        <xdr:cNvPr id="649" name="image260.jpg">
          <a:extLst>
            <a:ext uri="{FF2B5EF4-FFF2-40B4-BE49-F238E27FC236}">
              <a16:creationId xmlns:a16="http://schemas.microsoft.com/office/drawing/2014/main" id="{00000000-0008-0000-0900-000089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649</xdr:row>
      <xdr:rowOff>0</xdr:rowOff>
    </xdr:from>
    <xdr:ext cx="381000" cy="381000"/>
    <xdr:pic>
      <xdr:nvPicPr>
        <xdr:cNvPr id="650" name="image26.jpg">
          <a:extLst>
            <a:ext uri="{FF2B5EF4-FFF2-40B4-BE49-F238E27FC236}">
              <a16:creationId xmlns:a16="http://schemas.microsoft.com/office/drawing/2014/main" id="{00000000-0008-0000-0900-00008A02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650</xdr:row>
      <xdr:rowOff>0</xdr:rowOff>
    </xdr:from>
    <xdr:ext cx="381000" cy="381000"/>
    <xdr:pic>
      <xdr:nvPicPr>
        <xdr:cNvPr id="651" name="image14.jpg">
          <a:extLst>
            <a:ext uri="{FF2B5EF4-FFF2-40B4-BE49-F238E27FC236}">
              <a16:creationId xmlns:a16="http://schemas.microsoft.com/office/drawing/2014/main" id="{00000000-0008-0000-0900-00008B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651</xdr:row>
      <xdr:rowOff>0</xdr:rowOff>
    </xdr:from>
    <xdr:ext cx="381000" cy="381000"/>
    <xdr:pic>
      <xdr:nvPicPr>
        <xdr:cNvPr id="652" name="image260.jpg">
          <a:extLst>
            <a:ext uri="{FF2B5EF4-FFF2-40B4-BE49-F238E27FC236}">
              <a16:creationId xmlns:a16="http://schemas.microsoft.com/office/drawing/2014/main" id="{00000000-0008-0000-0900-00008C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652</xdr:row>
      <xdr:rowOff>0</xdr:rowOff>
    </xdr:from>
    <xdr:ext cx="381000" cy="381000"/>
    <xdr:pic>
      <xdr:nvPicPr>
        <xdr:cNvPr id="653" name="image260.jpg">
          <a:extLst>
            <a:ext uri="{FF2B5EF4-FFF2-40B4-BE49-F238E27FC236}">
              <a16:creationId xmlns:a16="http://schemas.microsoft.com/office/drawing/2014/main" id="{00000000-0008-0000-0900-00008D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653</xdr:row>
      <xdr:rowOff>0</xdr:rowOff>
    </xdr:from>
    <xdr:ext cx="381000" cy="381000"/>
    <xdr:pic>
      <xdr:nvPicPr>
        <xdr:cNvPr id="654" name="image260.jpg">
          <a:extLst>
            <a:ext uri="{FF2B5EF4-FFF2-40B4-BE49-F238E27FC236}">
              <a16:creationId xmlns:a16="http://schemas.microsoft.com/office/drawing/2014/main" id="{00000000-0008-0000-0900-00008E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654</xdr:row>
      <xdr:rowOff>0</xdr:rowOff>
    </xdr:from>
    <xdr:ext cx="381000" cy="381000"/>
    <xdr:pic>
      <xdr:nvPicPr>
        <xdr:cNvPr id="655" name="image26.jpg">
          <a:extLst>
            <a:ext uri="{FF2B5EF4-FFF2-40B4-BE49-F238E27FC236}">
              <a16:creationId xmlns:a16="http://schemas.microsoft.com/office/drawing/2014/main" id="{00000000-0008-0000-0900-00008F02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655</xdr:row>
      <xdr:rowOff>0</xdr:rowOff>
    </xdr:from>
    <xdr:ext cx="381000" cy="381000"/>
    <xdr:pic>
      <xdr:nvPicPr>
        <xdr:cNvPr id="656" name="image14.jpg">
          <a:extLst>
            <a:ext uri="{FF2B5EF4-FFF2-40B4-BE49-F238E27FC236}">
              <a16:creationId xmlns:a16="http://schemas.microsoft.com/office/drawing/2014/main" id="{00000000-0008-0000-0900-000090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656</xdr:row>
      <xdr:rowOff>0</xdr:rowOff>
    </xdr:from>
    <xdr:ext cx="381000" cy="381000"/>
    <xdr:pic>
      <xdr:nvPicPr>
        <xdr:cNvPr id="657" name="image260.jpg">
          <a:extLst>
            <a:ext uri="{FF2B5EF4-FFF2-40B4-BE49-F238E27FC236}">
              <a16:creationId xmlns:a16="http://schemas.microsoft.com/office/drawing/2014/main" id="{00000000-0008-0000-0900-000091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657</xdr:row>
      <xdr:rowOff>0</xdr:rowOff>
    </xdr:from>
    <xdr:ext cx="381000" cy="381000"/>
    <xdr:pic>
      <xdr:nvPicPr>
        <xdr:cNvPr id="658" name="image260.jpg">
          <a:extLst>
            <a:ext uri="{FF2B5EF4-FFF2-40B4-BE49-F238E27FC236}">
              <a16:creationId xmlns:a16="http://schemas.microsoft.com/office/drawing/2014/main" id="{00000000-0008-0000-0900-000092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658</xdr:row>
      <xdr:rowOff>0</xdr:rowOff>
    </xdr:from>
    <xdr:ext cx="381000" cy="381000"/>
    <xdr:pic>
      <xdr:nvPicPr>
        <xdr:cNvPr id="659" name="image260.jpg">
          <a:extLst>
            <a:ext uri="{FF2B5EF4-FFF2-40B4-BE49-F238E27FC236}">
              <a16:creationId xmlns:a16="http://schemas.microsoft.com/office/drawing/2014/main" id="{00000000-0008-0000-0900-000093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659</xdr:row>
      <xdr:rowOff>0</xdr:rowOff>
    </xdr:from>
    <xdr:ext cx="381000" cy="381000"/>
    <xdr:pic>
      <xdr:nvPicPr>
        <xdr:cNvPr id="660" name="image26.jpg">
          <a:extLst>
            <a:ext uri="{FF2B5EF4-FFF2-40B4-BE49-F238E27FC236}">
              <a16:creationId xmlns:a16="http://schemas.microsoft.com/office/drawing/2014/main" id="{00000000-0008-0000-0900-00009402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xdr:col>
      <xdr:colOff>0</xdr:colOff>
      <xdr:row>660</xdr:row>
      <xdr:rowOff>0</xdr:rowOff>
    </xdr:from>
    <xdr:ext cx="381000" cy="381000"/>
    <xdr:pic>
      <xdr:nvPicPr>
        <xdr:cNvPr id="661" name="image14.jpg">
          <a:extLst>
            <a:ext uri="{FF2B5EF4-FFF2-40B4-BE49-F238E27FC236}">
              <a16:creationId xmlns:a16="http://schemas.microsoft.com/office/drawing/2014/main" id="{00000000-0008-0000-0900-000095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661</xdr:row>
      <xdr:rowOff>0</xdr:rowOff>
    </xdr:from>
    <xdr:ext cx="381000" cy="381000"/>
    <xdr:pic>
      <xdr:nvPicPr>
        <xdr:cNvPr id="662" name="image260.jpg">
          <a:extLst>
            <a:ext uri="{FF2B5EF4-FFF2-40B4-BE49-F238E27FC236}">
              <a16:creationId xmlns:a16="http://schemas.microsoft.com/office/drawing/2014/main" id="{00000000-0008-0000-0900-00009602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xdr:col>
      <xdr:colOff>0</xdr:colOff>
      <xdr:row>662</xdr:row>
      <xdr:rowOff>0</xdr:rowOff>
    </xdr:from>
    <xdr:ext cx="381000" cy="381000"/>
    <xdr:pic>
      <xdr:nvPicPr>
        <xdr:cNvPr id="663" name="image14.jpg">
          <a:extLst>
            <a:ext uri="{FF2B5EF4-FFF2-40B4-BE49-F238E27FC236}">
              <a16:creationId xmlns:a16="http://schemas.microsoft.com/office/drawing/2014/main" id="{00000000-0008-0000-0900-000097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663</xdr:row>
      <xdr:rowOff>0</xdr:rowOff>
    </xdr:from>
    <xdr:ext cx="381000" cy="381000"/>
    <xdr:pic>
      <xdr:nvPicPr>
        <xdr:cNvPr id="664" name="image46.jpg">
          <a:extLst>
            <a:ext uri="{FF2B5EF4-FFF2-40B4-BE49-F238E27FC236}">
              <a16:creationId xmlns:a16="http://schemas.microsoft.com/office/drawing/2014/main" id="{00000000-0008-0000-0900-00009802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664</xdr:row>
      <xdr:rowOff>0</xdr:rowOff>
    </xdr:from>
    <xdr:ext cx="381000" cy="381000"/>
    <xdr:pic>
      <xdr:nvPicPr>
        <xdr:cNvPr id="665" name="image20.png">
          <a:extLst>
            <a:ext uri="{FF2B5EF4-FFF2-40B4-BE49-F238E27FC236}">
              <a16:creationId xmlns:a16="http://schemas.microsoft.com/office/drawing/2014/main" id="{00000000-0008-0000-0900-000099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665</xdr:row>
      <xdr:rowOff>0</xdr:rowOff>
    </xdr:from>
    <xdr:ext cx="381000" cy="381000"/>
    <xdr:pic>
      <xdr:nvPicPr>
        <xdr:cNvPr id="666" name="image20.png">
          <a:extLst>
            <a:ext uri="{FF2B5EF4-FFF2-40B4-BE49-F238E27FC236}">
              <a16:creationId xmlns:a16="http://schemas.microsoft.com/office/drawing/2014/main" id="{00000000-0008-0000-0900-00009A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666</xdr:row>
      <xdr:rowOff>0</xdr:rowOff>
    </xdr:from>
    <xdr:ext cx="381000" cy="381000"/>
    <xdr:pic>
      <xdr:nvPicPr>
        <xdr:cNvPr id="667" name="image138.png">
          <a:extLst>
            <a:ext uri="{FF2B5EF4-FFF2-40B4-BE49-F238E27FC236}">
              <a16:creationId xmlns:a16="http://schemas.microsoft.com/office/drawing/2014/main" id="{00000000-0008-0000-0900-00009B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667</xdr:row>
      <xdr:rowOff>0</xdr:rowOff>
    </xdr:from>
    <xdr:ext cx="381000" cy="381000"/>
    <xdr:pic>
      <xdr:nvPicPr>
        <xdr:cNvPr id="668" name="image20.png">
          <a:extLst>
            <a:ext uri="{FF2B5EF4-FFF2-40B4-BE49-F238E27FC236}">
              <a16:creationId xmlns:a16="http://schemas.microsoft.com/office/drawing/2014/main" id="{00000000-0008-0000-0900-00009C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668</xdr:row>
      <xdr:rowOff>0</xdr:rowOff>
    </xdr:from>
    <xdr:ext cx="381000" cy="381000"/>
    <xdr:pic>
      <xdr:nvPicPr>
        <xdr:cNvPr id="669" name="image20.png">
          <a:extLst>
            <a:ext uri="{FF2B5EF4-FFF2-40B4-BE49-F238E27FC236}">
              <a16:creationId xmlns:a16="http://schemas.microsoft.com/office/drawing/2014/main" id="{00000000-0008-0000-0900-00009D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669</xdr:row>
      <xdr:rowOff>0</xdr:rowOff>
    </xdr:from>
    <xdr:ext cx="371475" cy="381000"/>
    <xdr:pic>
      <xdr:nvPicPr>
        <xdr:cNvPr id="670" name="image164.png">
          <a:extLst>
            <a:ext uri="{FF2B5EF4-FFF2-40B4-BE49-F238E27FC236}">
              <a16:creationId xmlns:a16="http://schemas.microsoft.com/office/drawing/2014/main" id="{00000000-0008-0000-0900-00009E02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670</xdr:row>
      <xdr:rowOff>0</xdr:rowOff>
    </xdr:from>
    <xdr:ext cx="381000" cy="381000"/>
    <xdr:pic>
      <xdr:nvPicPr>
        <xdr:cNvPr id="671" name="image20.png">
          <a:extLst>
            <a:ext uri="{FF2B5EF4-FFF2-40B4-BE49-F238E27FC236}">
              <a16:creationId xmlns:a16="http://schemas.microsoft.com/office/drawing/2014/main" id="{00000000-0008-0000-0900-00009F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671</xdr:row>
      <xdr:rowOff>0</xdr:rowOff>
    </xdr:from>
    <xdr:ext cx="381000" cy="381000"/>
    <xdr:pic>
      <xdr:nvPicPr>
        <xdr:cNvPr id="672" name="image138.png">
          <a:extLst>
            <a:ext uri="{FF2B5EF4-FFF2-40B4-BE49-F238E27FC236}">
              <a16:creationId xmlns:a16="http://schemas.microsoft.com/office/drawing/2014/main" id="{00000000-0008-0000-0900-0000A0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672</xdr:row>
      <xdr:rowOff>0</xdr:rowOff>
    </xdr:from>
    <xdr:ext cx="381000" cy="381000"/>
    <xdr:pic>
      <xdr:nvPicPr>
        <xdr:cNvPr id="673" name="image20.png">
          <a:extLst>
            <a:ext uri="{FF2B5EF4-FFF2-40B4-BE49-F238E27FC236}">
              <a16:creationId xmlns:a16="http://schemas.microsoft.com/office/drawing/2014/main" id="{00000000-0008-0000-0900-0000A1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673</xdr:row>
      <xdr:rowOff>0</xdr:rowOff>
    </xdr:from>
    <xdr:ext cx="381000" cy="381000"/>
    <xdr:pic>
      <xdr:nvPicPr>
        <xdr:cNvPr id="674" name="image20.png">
          <a:extLst>
            <a:ext uri="{FF2B5EF4-FFF2-40B4-BE49-F238E27FC236}">
              <a16:creationId xmlns:a16="http://schemas.microsoft.com/office/drawing/2014/main" id="{00000000-0008-0000-0900-0000A2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674</xdr:row>
      <xdr:rowOff>0</xdr:rowOff>
    </xdr:from>
    <xdr:ext cx="381000" cy="381000"/>
    <xdr:pic>
      <xdr:nvPicPr>
        <xdr:cNvPr id="675" name="image14.jpg">
          <a:extLst>
            <a:ext uri="{FF2B5EF4-FFF2-40B4-BE49-F238E27FC236}">
              <a16:creationId xmlns:a16="http://schemas.microsoft.com/office/drawing/2014/main" id="{00000000-0008-0000-0900-0000A3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675</xdr:row>
      <xdr:rowOff>0</xdr:rowOff>
    </xdr:from>
    <xdr:ext cx="381000" cy="381000"/>
    <xdr:pic>
      <xdr:nvPicPr>
        <xdr:cNvPr id="676" name="image46.jpg">
          <a:extLst>
            <a:ext uri="{FF2B5EF4-FFF2-40B4-BE49-F238E27FC236}">
              <a16:creationId xmlns:a16="http://schemas.microsoft.com/office/drawing/2014/main" id="{00000000-0008-0000-0900-0000A402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676</xdr:row>
      <xdr:rowOff>0</xdr:rowOff>
    </xdr:from>
    <xdr:ext cx="381000" cy="381000"/>
    <xdr:pic>
      <xdr:nvPicPr>
        <xdr:cNvPr id="677" name="image20.png">
          <a:extLst>
            <a:ext uri="{FF2B5EF4-FFF2-40B4-BE49-F238E27FC236}">
              <a16:creationId xmlns:a16="http://schemas.microsoft.com/office/drawing/2014/main" id="{00000000-0008-0000-0900-0000A5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677</xdr:row>
      <xdr:rowOff>0</xdr:rowOff>
    </xdr:from>
    <xdr:ext cx="381000" cy="381000"/>
    <xdr:pic>
      <xdr:nvPicPr>
        <xdr:cNvPr id="678" name="image14.jpg">
          <a:extLst>
            <a:ext uri="{FF2B5EF4-FFF2-40B4-BE49-F238E27FC236}">
              <a16:creationId xmlns:a16="http://schemas.microsoft.com/office/drawing/2014/main" id="{00000000-0008-0000-0900-0000A6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678</xdr:row>
      <xdr:rowOff>0</xdr:rowOff>
    </xdr:from>
    <xdr:ext cx="381000" cy="381000"/>
    <xdr:pic>
      <xdr:nvPicPr>
        <xdr:cNvPr id="679" name="image20.png">
          <a:extLst>
            <a:ext uri="{FF2B5EF4-FFF2-40B4-BE49-F238E27FC236}">
              <a16:creationId xmlns:a16="http://schemas.microsoft.com/office/drawing/2014/main" id="{00000000-0008-0000-0900-0000A7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679</xdr:row>
      <xdr:rowOff>0</xdr:rowOff>
    </xdr:from>
    <xdr:ext cx="381000" cy="381000"/>
    <xdr:pic>
      <xdr:nvPicPr>
        <xdr:cNvPr id="680" name="image14.jpg">
          <a:extLst>
            <a:ext uri="{FF2B5EF4-FFF2-40B4-BE49-F238E27FC236}">
              <a16:creationId xmlns:a16="http://schemas.microsoft.com/office/drawing/2014/main" id="{00000000-0008-0000-0900-0000A8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680</xdr:row>
      <xdr:rowOff>0</xdr:rowOff>
    </xdr:from>
    <xdr:ext cx="381000" cy="381000"/>
    <xdr:pic>
      <xdr:nvPicPr>
        <xdr:cNvPr id="681" name="image46.jpg">
          <a:extLst>
            <a:ext uri="{FF2B5EF4-FFF2-40B4-BE49-F238E27FC236}">
              <a16:creationId xmlns:a16="http://schemas.microsoft.com/office/drawing/2014/main" id="{00000000-0008-0000-0900-0000A902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681</xdr:row>
      <xdr:rowOff>0</xdr:rowOff>
    </xdr:from>
    <xdr:ext cx="381000" cy="381000"/>
    <xdr:pic>
      <xdr:nvPicPr>
        <xdr:cNvPr id="682" name="image20.png">
          <a:extLst>
            <a:ext uri="{FF2B5EF4-FFF2-40B4-BE49-F238E27FC236}">
              <a16:creationId xmlns:a16="http://schemas.microsoft.com/office/drawing/2014/main" id="{00000000-0008-0000-0900-0000AA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682</xdr:row>
      <xdr:rowOff>0</xdr:rowOff>
    </xdr:from>
    <xdr:ext cx="381000" cy="381000"/>
    <xdr:pic>
      <xdr:nvPicPr>
        <xdr:cNvPr id="683" name="image20.png">
          <a:extLst>
            <a:ext uri="{FF2B5EF4-FFF2-40B4-BE49-F238E27FC236}">
              <a16:creationId xmlns:a16="http://schemas.microsoft.com/office/drawing/2014/main" id="{00000000-0008-0000-0900-0000AB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683</xdr:row>
      <xdr:rowOff>0</xdr:rowOff>
    </xdr:from>
    <xdr:ext cx="381000" cy="381000"/>
    <xdr:pic>
      <xdr:nvPicPr>
        <xdr:cNvPr id="684" name="image138.png">
          <a:extLst>
            <a:ext uri="{FF2B5EF4-FFF2-40B4-BE49-F238E27FC236}">
              <a16:creationId xmlns:a16="http://schemas.microsoft.com/office/drawing/2014/main" id="{00000000-0008-0000-0900-0000AC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684</xdr:row>
      <xdr:rowOff>0</xdr:rowOff>
    </xdr:from>
    <xdr:ext cx="381000" cy="381000"/>
    <xdr:pic>
      <xdr:nvPicPr>
        <xdr:cNvPr id="685" name="image20.png">
          <a:extLst>
            <a:ext uri="{FF2B5EF4-FFF2-40B4-BE49-F238E27FC236}">
              <a16:creationId xmlns:a16="http://schemas.microsoft.com/office/drawing/2014/main" id="{00000000-0008-0000-0900-0000AD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685</xdr:row>
      <xdr:rowOff>0</xdr:rowOff>
    </xdr:from>
    <xdr:ext cx="371475" cy="381000"/>
    <xdr:pic>
      <xdr:nvPicPr>
        <xdr:cNvPr id="686" name="image164.png">
          <a:extLst>
            <a:ext uri="{FF2B5EF4-FFF2-40B4-BE49-F238E27FC236}">
              <a16:creationId xmlns:a16="http://schemas.microsoft.com/office/drawing/2014/main" id="{00000000-0008-0000-0900-0000AE02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686</xdr:row>
      <xdr:rowOff>0</xdr:rowOff>
    </xdr:from>
    <xdr:ext cx="381000" cy="381000"/>
    <xdr:pic>
      <xdr:nvPicPr>
        <xdr:cNvPr id="687" name="image138.png">
          <a:extLst>
            <a:ext uri="{FF2B5EF4-FFF2-40B4-BE49-F238E27FC236}">
              <a16:creationId xmlns:a16="http://schemas.microsoft.com/office/drawing/2014/main" id="{00000000-0008-0000-0900-0000AF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687</xdr:row>
      <xdr:rowOff>0</xdr:rowOff>
    </xdr:from>
    <xdr:ext cx="381000" cy="381000"/>
    <xdr:pic>
      <xdr:nvPicPr>
        <xdr:cNvPr id="688" name="image20.png">
          <a:extLst>
            <a:ext uri="{FF2B5EF4-FFF2-40B4-BE49-F238E27FC236}">
              <a16:creationId xmlns:a16="http://schemas.microsoft.com/office/drawing/2014/main" id="{00000000-0008-0000-0900-0000B0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688</xdr:row>
      <xdr:rowOff>0</xdr:rowOff>
    </xdr:from>
    <xdr:ext cx="381000" cy="381000"/>
    <xdr:pic>
      <xdr:nvPicPr>
        <xdr:cNvPr id="689" name="image20.png">
          <a:extLst>
            <a:ext uri="{FF2B5EF4-FFF2-40B4-BE49-F238E27FC236}">
              <a16:creationId xmlns:a16="http://schemas.microsoft.com/office/drawing/2014/main" id="{00000000-0008-0000-0900-0000B1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689</xdr:row>
      <xdr:rowOff>0</xdr:rowOff>
    </xdr:from>
    <xdr:ext cx="381000" cy="381000"/>
    <xdr:pic>
      <xdr:nvPicPr>
        <xdr:cNvPr id="690" name="image14.jpg">
          <a:extLst>
            <a:ext uri="{FF2B5EF4-FFF2-40B4-BE49-F238E27FC236}">
              <a16:creationId xmlns:a16="http://schemas.microsoft.com/office/drawing/2014/main" id="{00000000-0008-0000-0900-0000B2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690</xdr:row>
      <xdr:rowOff>0</xdr:rowOff>
    </xdr:from>
    <xdr:ext cx="381000" cy="381000"/>
    <xdr:pic>
      <xdr:nvPicPr>
        <xdr:cNvPr id="691" name="image46.jpg">
          <a:extLst>
            <a:ext uri="{FF2B5EF4-FFF2-40B4-BE49-F238E27FC236}">
              <a16:creationId xmlns:a16="http://schemas.microsoft.com/office/drawing/2014/main" id="{00000000-0008-0000-0900-0000B302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691</xdr:row>
      <xdr:rowOff>0</xdr:rowOff>
    </xdr:from>
    <xdr:ext cx="381000" cy="381000"/>
    <xdr:pic>
      <xdr:nvPicPr>
        <xdr:cNvPr id="692" name="image20.png">
          <a:extLst>
            <a:ext uri="{FF2B5EF4-FFF2-40B4-BE49-F238E27FC236}">
              <a16:creationId xmlns:a16="http://schemas.microsoft.com/office/drawing/2014/main" id="{00000000-0008-0000-0900-0000B4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692</xdr:row>
      <xdr:rowOff>0</xdr:rowOff>
    </xdr:from>
    <xdr:ext cx="381000" cy="381000"/>
    <xdr:pic>
      <xdr:nvPicPr>
        <xdr:cNvPr id="693" name="image138.png">
          <a:extLst>
            <a:ext uri="{FF2B5EF4-FFF2-40B4-BE49-F238E27FC236}">
              <a16:creationId xmlns:a16="http://schemas.microsoft.com/office/drawing/2014/main" id="{00000000-0008-0000-0900-0000B5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693</xdr:row>
      <xdr:rowOff>0</xdr:rowOff>
    </xdr:from>
    <xdr:ext cx="381000" cy="381000"/>
    <xdr:pic>
      <xdr:nvPicPr>
        <xdr:cNvPr id="694" name="image20.png">
          <a:extLst>
            <a:ext uri="{FF2B5EF4-FFF2-40B4-BE49-F238E27FC236}">
              <a16:creationId xmlns:a16="http://schemas.microsoft.com/office/drawing/2014/main" id="{00000000-0008-0000-0900-0000B6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694</xdr:row>
      <xdr:rowOff>0</xdr:rowOff>
    </xdr:from>
    <xdr:ext cx="381000" cy="381000"/>
    <xdr:pic>
      <xdr:nvPicPr>
        <xdr:cNvPr id="695" name="image14.jpg">
          <a:extLst>
            <a:ext uri="{FF2B5EF4-FFF2-40B4-BE49-F238E27FC236}">
              <a16:creationId xmlns:a16="http://schemas.microsoft.com/office/drawing/2014/main" id="{00000000-0008-0000-0900-0000B7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695</xdr:row>
      <xdr:rowOff>0</xdr:rowOff>
    </xdr:from>
    <xdr:ext cx="381000" cy="381000"/>
    <xdr:pic>
      <xdr:nvPicPr>
        <xdr:cNvPr id="696" name="image46.jpg">
          <a:extLst>
            <a:ext uri="{FF2B5EF4-FFF2-40B4-BE49-F238E27FC236}">
              <a16:creationId xmlns:a16="http://schemas.microsoft.com/office/drawing/2014/main" id="{00000000-0008-0000-0900-0000B802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696</xdr:row>
      <xdr:rowOff>0</xdr:rowOff>
    </xdr:from>
    <xdr:ext cx="381000" cy="381000"/>
    <xdr:pic>
      <xdr:nvPicPr>
        <xdr:cNvPr id="697" name="image20.png">
          <a:extLst>
            <a:ext uri="{FF2B5EF4-FFF2-40B4-BE49-F238E27FC236}">
              <a16:creationId xmlns:a16="http://schemas.microsoft.com/office/drawing/2014/main" id="{00000000-0008-0000-0900-0000B9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697</xdr:row>
      <xdr:rowOff>0</xdr:rowOff>
    </xdr:from>
    <xdr:ext cx="381000" cy="381000"/>
    <xdr:pic>
      <xdr:nvPicPr>
        <xdr:cNvPr id="698" name="image138.png">
          <a:extLst>
            <a:ext uri="{FF2B5EF4-FFF2-40B4-BE49-F238E27FC236}">
              <a16:creationId xmlns:a16="http://schemas.microsoft.com/office/drawing/2014/main" id="{00000000-0008-0000-0900-0000BA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698</xdr:row>
      <xdr:rowOff>0</xdr:rowOff>
    </xdr:from>
    <xdr:ext cx="381000" cy="381000"/>
    <xdr:pic>
      <xdr:nvPicPr>
        <xdr:cNvPr id="699" name="image20.png">
          <a:extLst>
            <a:ext uri="{FF2B5EF4-FFF2-40B4-BE49-F238E27FC236}">
              <a16:creationId xmlns:a16="http://schemas.microsoft.com/office/drawing/2014/main" id="{00000000-0008-0000-0900-0000BB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699</xdr:row>
      <xdr:rowOff>0</xdr:rowOff>
    </xdr:from>
    <xdr:ext cx="381000" cy="381000"/>
    <xdr:pic>
      <xdr:nvPicPr>
        <xdr:cNvPr id="700" name="image14.jpg">
          <a:extLst>
            <a:ext uri="{FF2B5EF4-FFF2-40B4-BE49-F238E27FC236}">
              <a16:creationId xmlns:a16="http://schemas.microsoft.com/office/drawing/2014/main" id="{00000000-0008-0000-0900-0000BC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700</xdr:row>
      <xdr:rowOff>0</xdr:rowOff>
    </xdr:from>
    <xdr:ext cx="381000" cy="381000"/>
    <xdr:pic>
      <xdr:nvPicPr>
        <xdr:cNvPr id="701" name="image14.jpg">
          <a:extLst>
            <a:ext uri="{FF2B5EF4-FFF2-40B4-BE49-F238E27FC236}">
              <a16:creationId xmlns:a16="http://schemas.microsoft.com/office/drawing/2014/main" id="{00000000-0008-0000-0900-0000BD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701</xdr:row>
      <xdr:rowOff>0</xdr:rowOff>
    </xdr:from>
    <xdr:ext cx="381000" cy="381000"/>
    <xdr:pic>
      <xdr:nvPicPr>
        <xdr:cNvPr id="702" name="image46.jpg">
          <a:extLst>
            <a:ext uri="{FF2B5EF4-FFF2-40B4-BE49-F238E27FC236}">
              <a16:creationId xmlns:a16="http://schemas.microsoft.com/office/drawing/2014/main" id="{00000000-0008-0000-0900-0000BE02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702</xdr:row>
      <xdr:rowOff>0</xdr:rowOff>
    </xdr:from>
    <xdr:ext cx="381000" cy="381000"/>
    <xdr:pic>
      <xdr:nvPicPr>
        <xdr:cNvPr id="703" name="image20.png">
          <a:extLst>
            <a:ext uri="{FF2B5EF4-FFF2-40B4-BE49-F238E27FC236}">
              <a16:creationId xmlns:a16="http://schemas.microsoft.com/office/drawing/2014/main" id="{00000000-0008-0000-0900-0000BF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703</xdr:row>
      <xdr:rowOff>0</xdr:rowOff>
    </xdr:from>
    <xdr:ext cx="381000" cy="381000"/>
    <xdr:pic>
      <xdr:nvPicPr>
        <xdr:cNvPr id="704" name="image20.png">
          <a:extLst>
            <a:ext uri="{FF2B5EF4-FFF2-40B4-BE49-F238E27FC236}">
              <a16:creationId xmlns:a16="http://schemas.microsoft.com/office/drawing/2014/main" id="{00000000-0008-0000-0900-0000C0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704</xdr:row>
      <xdr:rowOff>0</xdr:rowOff>
    </xdr:from>
    <xdr:ext cx="381000" cy="381000"/>
    <xdr:pic>
      <xdr:nvPicPr>
        <xdr:cNvPr id="705" name="image138.png">
          <a:extLst>
            <a:ext uri="{FF2B5EF4-FFF2-40B4-BE49-F238E27FC236}">
              <a16:creationId xmlns:a16="http://schemas.microsoft.com/office/drawing/2014/main" id="{00000000-0008-0000-0900-0000C1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705</xdr:row>
      <xdr:rowOff>0</xdr:rowOff>
    </xdr:from>
    <xdr:ext cx="381000" cy="381000"/>
    <xdr:pic>
      <xdr:nvPicPr>
        <xdr:cNvPr id="706" name="image20.png">
          <a:extLst>
            <a:ext uri="{FF2B5EF4-FFF2-40B4-BE49-F238E27FC236}">
              <a16:creationId xmlns:a16="http://schemas.microsoft.com/office/drawing/2014/main" id="{00000000-0008-0000-0900-0000C2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706</xdr:row>
      <xdr:rowOff>0</xdr:rowOff>
    </xdr:from>
    <xdr:ext cx="371475" cy="381000"/>
    <xdr:pic>
      <xdr:nvPicPr>
        <xdr:cNvPr id="707" name="image164.png">
          <a:extLst>
            <a:ext uri="{FF2B5EF4-FFF2-40B4-BE49-F238E27FC236}">
              <a16:creationId xmlns:a16="http://schemas.microsoft.com/office/drawing/2014/main" id="{00000000-0008-0000-0900-0000C302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0</xdr:colOff>
      <xdr:row>707</xdr:row>
      <xdr:rowOff>0</xdr:rowOff>
    </xdr:from>
    <xdr:ext cx="381000" cy="381000"/>
    <xdr:pic>
      <xdr:nvPicPr>
        <xdr:cNvPr id="708" name="image138.png">
          <a:extLst>
            <a:ext uri="{FF2B5EF4-FFF2-40B4-BE49-F238E27FC236}">
              <a16:creationId xmlns:a16="http://schemas.microsoft.com/office/drawing/2014/main" id="{00000000-0008-0000-0900-0000C4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708</xdr:row>
      <xdr:rowOff>0</xdr:rowOff>
    </xdr:from>
    <xdr:ext cx="381000" cy="381000"/>
    <xdr:pic>
      <xdr:nvPicPr>
        <xdr:cNvPr id="709" name="image20.png">
          <a:extLst>
            <a:ext uri="{FF2B5EF4-FFF2-40B4-BE49-F238E27FC236}">
              <a16:creationId xmlns:a16="http://schemas.microsoft.com/office/drawing/2014/main" id="{00000000-0008-0000-0900-0000C5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709</xdr:row>
      <xdr:rowOff>0</xdr:rowOff>
    </xdr:from>
    <xdr:ext cx="381000" cy="381000"/>
    <xdr:pic>
      <xdr:nvPicPr>
        <xdr:cNvPr id="710" name="image20.png">
          <a:extLst>
            <a:ext uri="{FF2B5EF4-FFF2-40B4-BE49-F238E27FC236}">
              <a16:creationId xmlns:a16="http://schemas.microsoft.com/office/drawing/2014/main" id="{00000000-0008-0000-0900-0000C6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710</xdr:row>
      <xdr:rowOff>0</xdr:rowOff>
    </xdr:from>
    <xdr:ext cx="381000" cy="381000"/>
    <xdr:pic>
      <xdr:nvPicPr>
        <xdr:cNvPr id="711" name="image14.jpg">
          <a:extLst>
            <a:ext uri="{FF2B5EF4-FFF2-40B4-BE49-F238E27FC236}">
              <a16:creationId xmlns:a16="http://schemas.microsoft.com/office/drawing/2014/main" id="{00000000-0008-0000-0900-0000C7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711</xdr:row>
      <xdr:rowOff>0</xdr:rowOff>
    </xdr:from>
    <xdr:ext cx="381000" cy="381000"/>
    <xdr:pic>
      <xdr:nvPicPr>
        <xdr:cNvPr id="712" name="image46.jpg">
          <a:extLst>
            <a:ext uri="{FF2B5EF4-FFF2-40B4-BE49-F238E27FC236}">
              <a16:creationId xmlns:a16="http://schemas.microsoft.com/office/drawing/2014/main" id="{00000000-0008-0000-0900-0000C802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712</xdr:row>
      <xdr:rowOff>0</xdr:rowOff>
    </xdr:from>
    <xdr:ext cx="381000" cy="381000"/>
    <xdr:pic>
      <xdr:nvPicPr>
        <xdr:cNvPr id="713" name="image20.png">
          <a:extLst>
            <a:ext uri="{FF2B5EF4-FFF2-40B4-BE49-F238E27FC236}">
              <a16:creationId xmlns:a16="http://schemas.microsoft.com/office/drawing/2014/main" id="{00000000-0008-0000-0900-0000C9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713</xdr:row>
      <xdr:rowOff>0</xdr:rowOff>
    </xdr:from>
    <xdr:ext cx="381000" cy="381000"/>
    <xdr:pic>
      <xdr:nvPicPr>
        <xdr:cNvPr id="714" name="image138.png">
          <a:extLst>
            <a:ext uri="{FF2B5EF4-FFF2-40B4-BE49-F238E27FC236}">
              <a16:creationId xmlns:a16="http://schemas.microsoft.com/office/drawing/2014/main" id="{00000000-0008-0000-0900-0000CA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714</xdr:row>
      <xdr:rowOff>0</xdr:rowOff>
    </xdr:from>
    <xdr:ext cx="381000" cy="381000"/>
    <xdr:pic>
      <xdr:nvPicPr>
        <xdr:cNvPr id="715" name="image20.png">
          <a:extLst>
            <a:ext uri="{FF2B5EF4-FFF2-40B4-BE49-F238E27FC236}">
              <a16:creationId xmlns:a16="http://schemas.microsoft.com/office/drawing/2014/main" id="{00000000-0008-0000-0900-0000CB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715</xdr:row>
      <xdr:rowOff>0</xdr:rowOff>
    </xdr:from>
    <xdr:ext cx="381000" cy="381000"/>
    <xdr:pic>
      <xdr:nvPicPr>
        <xdr:cNvPr id="716" name="image14.jpg">
          <a:extLst>
            <a:ext uri="{FF2B5EF4-FFF2-40B4-BE49-F238E27FC236}">
              <a16:creationId xmlns:a16="http://schemas.microsoft.com/office/drawing/2014/main" id="{00000000-0008-0000-0900-0000CC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716</xdr:row>
      <xdr:rowOff>0</xdr:rowOff>
    </xdr:from>
    <xdr:ext cx="381000" cy="381000"/>
    <xdr:pic>
      <xdr:nvPicPr>
        <xdr:cNvPr id="717" name="image46.jpg">
          <a:extLst>
            <a:ext uri="{FF2B5EF4-FFF2-40B4-BE49-F238E27FC236}">
              <a16:creationId xmlns:a16="http://schemas.microsoft.com/office/drawing/2014/main" id="{00000000-0008-0000-0900-0000CD02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717</xdr:row>
      <xdr:rowOff>0</xdr:rowOff>
    </xdr:from>
    <xdr:ext cx="381000" cy="381000"/>
    <xdr:pic>
      <xdr:nvPicPr>
        <xdr:cNvPr id="718" name="image20.png">
          <a:extLst>
            <a:ext uri="{FF2B5EF4-FFF2-40B4-BE49-F238E27FC236}">
              <a16:creationId xmlns:a16="http://schemas.microsoft.com/office/drawing/2014/main" id="{00000000-0008-0000-0900-0000CE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718</xdr:row>
      <xdr:rowOff>0</xdr:rowOff>
    </xdr:from>
    <xdr:ext cx="381000" cy="381000"/>
    <xdr:pic>
      <xdr:nvPicPr>
        <xdr:cNvPr id="719" name="image138.png">
          <a:extLst>
            <a:ext uri="{FF2B5EF4-FFF2-40B4-BE49-F238E27FC236}">
              <a16:creationId xmlns:a16="http://schemas.microsoft.com/office/drawing/2014/main" id="{00000000-0008-0000-0900-0000CF02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xdr:col>
      <xdr:colOff>0</xdr:colOff>
      <xdr:row>719</xdr:row>
      <xdr:rowOff>0</xdr:rowOff>
    </xdr:from>
    <xdr:ext cx="381000" cy="381000"/>
    <xdr:pic>
      <xdr:nvPicPr>
        <xdr:cNvPr id="720" name="image20.png">
          <a:extLst>
            <a:ext uri="{FF2B5EF4-FFF2-40B4-BE49-F238E27FC236}">
              <a16:creationId xmlns:a16="http://schemas.microsoft.com/office/drawing/2014/main" id="{00000000-0008-0000-0900-0000D0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720</xdr:row>
      <xdr:rowOff>0</xdr:rowOff>
    </xdr:from>
    <xdr:ext cx="381000" cy="381000"/>
    <xdr:pic>
      <xdr:nvPicPr>
        <xdr:cNvPr id="721" name="image14.jpg">
          <a:extLst>
            <a:ext uri="{FF2B5EF4-FFF2-40B4-BE49-F238E27FC236}">
              <a16:creationId xmlns:a16="http://schemas.microsoft.com/office/drawing/2014/main" id="{00000000-0008-0000-0900-0000D1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721</xdr:row>
      <xdr:rowOff>0</xdr:rowOff>
    </xdr:from>
    <xdr:ext cx="381000" cy="381000"/>
    <xdr:pic>
      <xdr:nvPicPr>
        <xdr:cNvPr id="722" name="image153.png">
          <a:extLst>
            <a:ext uri="{FF2B5EF4-FFF2-40B4-BE49-F238E27FC236}">
              <a16:creationId xmlns:a16="http://schemas.microsoft.com/office/drawing/2014/main" id="{00000000-0008-0000-0900-0000D202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722</xdr:row>
      <xdr:rowOff>0</xdr:rowOff>
    </xdr:from>
    <xdr:ext cx="381000" cy="381000"/>
    <xdr:pic>
      <xdr:nvPicPr>
        <xdr:cNvPr id="723" name="image14.jpg">
          <a:extLst>
            <a:ext uri="{FF2B5EF4-FFF2-40B4-BE49-F238E27FC236}">
              <a16:creationId xmlns:a16="http://schemas.microsoft.com/office/drawing/2014/main" id="{00000000-0008-0000-0900-0000D3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723</xdr:row>
      <xdr:rowOff>0</xdr:rowOff>
    </xdr:from>
    <xdr:ext cx="381000" cy="381000"/>
    <xdr:pic>
      <xdr:nvPicPr>
        <xdr:cNvPr id="724" name="image18.jpg">
          <a:extLst>
            <a:ext uri="{FF2B5EF4-FFF2-40B4-BE49-F238E27FC236}">
              <a16:creationId xmlns:a16="http://schemas.microsoft.com/office/drawing/2014/main" id="{00000000-0008-0000-0900-0000D402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724</xdr:row>
      <xdr:rowOff>0</xdr:rowOff>
    </xdr:from>
    <xdr:ext cx="381000" cy="381000"/>
    <xdr:pic>
      <xdr:nvPicPr>
        <xdr:cNvPr id="725" name="image20.png">
          <a:extLst>
            <a:ext uri="{FF2B5EF4-FFF2-40B4-BE49-F238E27FC236}">
              <a16:creationId xmlns:a16="http://schemas.microsoft.com/office/drawing/2014/main" id="{00000000-0008-0000-0900-0000D5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725</xdr:row>
      <xdr:rowOff>0</xdr:rowOff>
    </xdr:from>
    <xdr:ext cx="381000" cy="381000"/>
    <xdr:pic>
      <xdr:nvPicPr>
        <xdr:cNvPr id="726" name="image20.png">
          <a:extLst>
            <a:ext uri="{FF2B5EF4-FFF2-40B4-BE49-F238E27FC236}">
              <a16:creationId xmlns:a16="http://schemas.microsoft.com/office/drawing/2014/main" id="{00000000-0008-0000-0900-0000D6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726</xdr:row>
      <xdr:rowOff>0</xdr:rowOff>
    </xdr:from>
    <xdr:ext cx="381000" cy="381000"/>
    <xdr:pic>
      <xdr:nvPicPr>
        <xdr:cNvPr id="727" name="image20.png">
          <a:extLst>
            <a:ext uri="{FF2B5EF4-FFF2-40B4-BE49-F238E27FC236}">
              <a16:creationId xmlns:a16="http://schemas.microsoft.com/office/drawing/2014/main" id="{00000000-0008-0000-0900-0000D7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727</xdr:row>
      <xdr:rowOff>0</xdr:rowOff>
    </xdr:from>
    <xdr:ext cx="381000" cy="381000"/>
    <xdr:pic>
      <xdr:nvPicPr>
        <xdr:cNvPr id="728" name="image20.png">
          <a:extLst>
            <a:ext uri="{FF2B5EF4-FFF2-40B4-BE49-F238E27FC236}">
              <a16:creationId xmlns:a16="http://schemas.microsoft.com/office/drawing/2014/main" id="{00000000-0008-0000-0900-0000D8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728</xdr:row>
      <xdr:rowOff>0</xdr:rowOff>
    </xdr:from>
    <xdr:ext cx="381000" cy="381000"/>
    <xdr:pic>
      <xdr:nvPicPr>
        <xdr:cNvPr id="729" name="image14.jpg">
          <a:extLst>
            <a:ext uri="{FF2B5EF4-FFF2-40B4-BE49-F238E27FC236}">
              <a16:creationId xmlns:a16="http://schemas.microsoft.com/office/drawing/2014/main" id="{00000000-0008-0000-0900-0000D9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729</xdr:row>
      <xdr:rowOff>0</xdr:rowOff>
    </xdr:from>
    <xdr:ext cx="381000" cy="381000"/>
    <xdr:pic>
      <xdr:nvPicPr>
        <xdr:cNvPr id="730" name="image18.jpg">
          <a:extLst>
            <a:ext uri="{FF2B5EF4-FFF2-40B4-BE49-F238E27FC236}">
              <a16:creationId xmlns:a16="http://schemas.microsoft.com/office/drawing/2014/main" id="{00000000-0008-0000-0900-0000DA02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730</xdr:row>
      <xdr:rowOff>0</xdr:rowOff>
    </xdr:from>
    <xdr:ext cx="381000" cy="381000"/>
    <xdr:pic>
      <xdr:nvPicPr>
        <xdr:cNvPr id="731" name="image18.jpg">
          <a:extLst>
            <a:ext uri="{FF2B5EF4-FFF2-40B4-BE49-F238E27FC236}">
              <a16:creationId xmlns:a16="http://schemas.microsoft.com/office/drawing/2014/main" id="{00000000-0008-0000-0900-0000DB02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731</xdr:row>
      <xdr:rowOff>0</xdr:rowOff>
    </xdr:from>
    <xdr:ext cx="381000" cy="381000"/>
    <xdr:pic>
      <xdr:nvPicPr>
        <xdr:cNvPr id="732" name="image20.png">
          <a:extLst>
            <a:ext uri="{FF2B5EF4-FFF2-40B4-BE49-F238E27FC236}">
              <a16:creationId xmlns:a16="http://schemas.microsoft.com/office/drawing/2014/main" id="{00000000-0008-0000-0900-0000DC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732</xdr:row>
      <xdr:rowOff>0</xdr:rowOff>
    </xdr:from>
    <xdr:ext cx="381000" cy="381000"/>
    <xdr:pic>
      <xdr:nvPicPr>
        <xdr:cNvPr id="733" name="image14.jpg">
          <a:extLst>
            <a:ext uri="{FF2B5EF4-FFF2-40B4-BE49-F238E27FC236}">
              <a16:creationId xmlns:a16="http://schemas.microsoft.com/office/drawing/2014/main" id="{00000000-0008-0000-0900-0000DD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733</xdr:row>
      <xdr:rowOff>0</xdr:rowOff>
    </xdr:from>
    <xdr:ext cx="381000" cy="381000"/>
    <xdr:pic>
      <xdr:nvPicPr>
        <xdr:cNvPr id="734" name="image18.jpg">
          <a:extLst>
            <a:ext uri="{FF2B5EF4-FFF2-40B4-BE49-F238E27FC236}">
              <a16:creationId xmlns:a16="http://schemas.microsoft.com/office/drawing/2014/main" id="{00000000-0008-0000-0900-0000DE02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734</xdr:row>
      <xdr:rowOff>0</xdr:rowOff>
    </xdr:from>
    <xdr:ext cx="381000" cy="381000"/>
    <xdr:pic>
      <xdr:nvPicPr>
        <xdr:cNvPr id="735" name="image18.jpg">
          <a:extLst>
            <a:ext uri="{FF2B5EF4-FFF2-40B4-BE49-F238E27FC236}">
              <a16:creationId xmlns:a16="http://schemas.microsoft.com/office/drawing/2014/main" id="{00000000-0008-0000-0900-0000DF02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735</xdr:row>
      <xdr:rowOff>0</xdr:rowOff>
    </xdr:from>
    <xdr:ext cx="381000" cy="381000"/>
    <xdr:pic>
      <xdr:nvPicPr>
        <xdr:cNvPr id="736" name="image20.png">
          <a:extLst>
            <a:ext uri="{FF2B5EF4-FFF2-40B4-BE49-F238E27FC236}">
              <a16:creationId xmlns:a16="http://schemas.microsoft.com/office/drawing/2014/main" id="{00000000-0008-0000-0900-0000E0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736</xdr:row>
      <xdr:rowOff>0</xdr:rowOff>
    </xdr:from>
    <xdr:ext cx="381000" cy="381000"/>
    <xdr:pic>
      <xdr:nvPicPr>
        <xdr:cNvPr id="737" name="image20.png">
          <a:extLst>
            <a:ext uri="{FF2B5EF4-FFF2-40B4-BE49-F238E27FC236}">
              <a16:creationId xmlns:a16="http://schemas.microsoft.com/office/drawing/2014/main" id="{00000000-0008-0000-0900-0000E1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737</xdr:row>
      <xdr:rowOff>0</xdr:rowOff>
    </xdr:from>
    <xdr:ext cx="381000" cy="381000"/>
    <xdr:pic>
      <xdr:nvPicPr>
        <xdr:cNvPr id="738" name="image20.png">
          <a:extLst>
            <a:ext uri="{FF2B5EF4-FFF2-40B4-BE49-F238E27FC236}">
              <a16:creationId xmlns:a16="http://schemas.microsoft.com/office/drawing/2014/main" id="{00000000-0008-0000-0900-0000E2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738</xdr:row>
      <xdr:rowOff>0</xdr:rowOff>
    </xdr:from>
    <xdr:ext cx="381000" cy="381000"/>
    <xdr:pic>
      <xdr:nvPicPr>
        <xdr:cNvPr id="739" name="image14.jpg">
          <a:extLst>
            <a:ext uri="{FF2B5EF4-FFF2-40B4-BE49-F238E27FC236}">
              <a16:creationId xmlns:a16="http://schemas.microsoft.com/office/drawing/2014/main" id="{00000000-0008-0000-0900-0000E3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739</xdr:row>
      <xdr:rowOff>0</xdr:rowOff>
    </xdr:from>
    <xdr:ext cx="381000" cy="381000"/>
    <xdr:pic>
      <xdr:nvPicPr>
        <xdr:cNvPr id="740" name="image18.jpg">
          <a:extLst>
            <a:ext uri="{FF2B5EF4-FFF2-40B4-BE49-F238E27FC236}">
              <a16:creationId xmlns:a16="http://schemas.microsoft.com/office/drawing/2014/main" id="{00000000-0008-0000-0900-0000E402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740</xdr:row>
      <xdr:rowOff>0</xdr:rowOff>
    </xdr:from>
    <xdr:ext cx="381000" cy="381000"/>
    <xdr:pic>
      <xdr:nvPicPr>
        <xdr:cNvPr id="741" name="image18.jpg">
          <a:extLst>
            <a:ext uri="{FF2B5EF4-FFF2-40B4-BE49-F238E27FC236}">
              <a16:creationId xmlns:a16="http://schemas.microsoft.com/office/drawing/2014/main" id="{00000000-0008-0000-0900-0000E502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xdr:col>
      <xdr:colOff>0</xdr:colOff>
      <xdr:row>741</xdr:row>
      <xdr:rowOff>0</xdr:rowOff>
    </xdr:from>
    <xdr:ext cx="381000" cy="381000"/>
    <xdr:pic>
      <xdr:nvPicPr>
        <xdr:cNvPr id="742" name="image20.png">
          <a:extLst>
            <a:ext uri="{FF2B5EF4-FFF2-40B4-BE49-F238E27FC236}">
              <a16:creationId xmlns:a16="http://schemas.microsoft.com/office/drawing/2014/main" id="{00000000-0008-0000-0900-0000E602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742</xdr:row>
      <xdr:rowOff>0</xdr:rowOff>
    </xdr:from>
    <xdr:ext cx="381000" cy="381000"/>
    <xdr:pic>
      <xdr:nvPicPr>
        <xdr:cNvPr id="743" name="image14.jpg">
          <a:extLst>
            <a:ext uri="{FF2B5EF4-FFF2-40B4-BE49-F238E27FC236}">
              <a16:creationId xmlns:a16="http://schemas.microsoft.com/office/drawing/2014/main" id="{00000000-0008-0000-0900-0000E702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743</xdr:row>
      <xdr:rowOff>0</xdr:rowOff>
    </xdr:from>
    <xdr:ext cx="381000" cy="381000"/>
    <xdr:pic>
      <xdr:nvPicPr>
        <xdr:cNvPr id="744" name="image153.png">
          <a:extLst>
            <a:ext uri="{FF2B5EF4-FFF2-40B4-BE49-F238E27FC236}">
              <a16:creationId xmlns:a16="http://schemas.microsoft.com/office/drawing/2014/main" id="{00000000-0008-0000-0900-0000E802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744</xdr:row>
      <xdr:rowOff>0</xdr:rowOff>
    </xdr:from>
    <xdr:ext cx="381000" cy="381000"/>
    <xdr:pic>
      <xdr:nvPicPr>
        <xdr:cNvPr id="745" name="image140.png">
          <a:extLst>
            <a:ext uri="{FF2B5EF4-FFF2-40B4-BE49-F238E27FC236}">
              <a16:creationId xmlns:a16="http://schemas.microsoft.com/office/drawing/2014/main" id="{00000000-0008-0000-0900-0000E902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745</xdr:row>
      <xdr:rowOff>0</xdr:rowOff>
    </xdr:from>
    <xdr:ext cx="381000" cy="381000"/>
    <xdr:pic>
      <xdr:nvPicPr>
        <xdr:cNvPr id="746" name="image109.jpg">
          <a:extLst>
            <a:ext uri="{FF2B5EF4-FFF2-40B4-BE49-F238E27FC236}">
              <a16:creationId xmlns:a16="http://schemas.microsoft.com/office/drawing/2014/main" id="{00000000-0008-0000-0900-0000EA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746</xdr:row>
      <xdr:rowOff>0</xdr:rowOff>
    </xdr:from>
    <xdr:ext cx="381000" cy="381000"/>
    <xdr:pic>
      <xdr:nvPicPr>
        <xdr:cNvPr id="747" name="image109.jpg">
          <a:extLst>
            <a:ext uri="{FF2B5EF4-FFF2-40B4-BE49-F238E27FC236}">
              <a16:creationId xmlns:a16="http://schemas.microsoft.com/office/drawing/2014/main" id="{00000000-0008-0000-0900-0000EB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747</xdr:row>
      <xdr:rowOff>0</xdr:rowOff>
    </xdr:from>
    <xdr:ext cx="381000" cy="381000"/>
    <xdr:pic>
      <xdr:nvPicPr>
        <xdr:cNvPr id="748" name="image109.jpg">
          <a:extLst>
            <a:ext uri="{FF2B5EF4-FFF2-40B4-BE49-F238E27FC236}">
              <a16:creationId xmlns:a16="http://schemas.microsoft.com/office/drawing/2014/main" id="{00000000-0008-0000-0900-0000EC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748</xdr:row>
      <xdr:rowOff>0</xdr:rowOff>
    </xdr:from>
    <xdr:ext cx="381000" cy="381000"/>
    <xdr:pic>
      <xdr:nvPicPr>
        <xdr:cNvPr id="749" name="image140.png">
          <a:extLst>
            <a:ext uri="{FF2B5EF4-FFF2-40B4-BE49-F238E27FC236}">
              <a16:creationId xmlns:a16="http://schemas.microsoft.com/office/drawing/2014/main" id="{00000000-0008-0000-0900-0000ED02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749</xdr:row>
      <xdr:rowOff>0</xdr:rowOff>
    </xdr:from>
    <xdr:ext cx="381000" cy="381000"/>
    <xdr:pic>
      <xdr:nvPicPr>
        <xdr:cNvPr id="750" name="image109.jpg">
          <a:extLst>
            <a:ext uri="{FF2B5EF4-FFF2-40B4-BE49-F238E27FC236}">
              <a16:creationId xmlns:a16="http://schemas.microsoft.com/office/drawing/2014/main" id="{00000000-0008-0000-0900-0000EE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750</xdr:row>
      <xdr:rowOff>0</xdr:rowOff>
    </xdr:from>
    <xdr:ext cx="381000" cy="381000"/>
    <xdr:pic>
      <xdr:nvPicPr>
        <xdr:cNvPr id="751" name="image109.jpg">
          <a:extLst>
            <a:ext uri="{FF2B5EF4-FFF2-40B4-BE49-F238E27FC236}">
              <a16:creationId xmlns:a16="http://schemas.microsoft.com/office/drawing/2014/main" id="{00000000-0008-0000-0900-0000EF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751</xdr:row>
      <xdr:rowOff>0</xdr:rowOff>
    </xdr:from>
    <xdr:ext cx="381000" cy="381000"/>
    <xdr:pic>
      <xdr:nvPicPr>
        <xdr:cNvPr id="752" name="image109.jpg">
          <a:extLst>
            <a:ext uri="{FF2B5EF4-FFF2-40B4-BE49-F238E27FC236}">
              <a16:creationId xmlns:a16="http://schemas.microsoft.com/office/drawing/2014/main" id="{00000000-0008-0000-0900-0000F0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752</xdr:row>
      <xdr:rowOff>0</xdr:rowOff>
    </xdr:from>
    <xdr:ext cx="381000" cy="381000"/>
    <xdr:pic>
      <xdr:nvPicPr>
        <xdr:cNvPr id="753" name="image140.png">
          <a:extLst>
            <a:ext uri="{FF2B5EF4-FFF2-40B4-BE49-F238E27FC236}">
              <a16:creationId xmlns:a16="http://schemas.microsoft.com/office/drawing/2014/main" id="{00000000-0008-0000-0900-0000F102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753</xdr:row>
      <xdr:rowOff>0</xdr:rowOff>
    </xdr:from>
    <xdr:ext cx="381000" cy="381000"/>
    <xdr:pic>
      <xdr:nvPicPr>
        <xdr:cNvPr id="754" name="image109.jpg">
          <a:extLst>
            <a:ext uri="{FF2B5EF4-FFF2-40B4-BE49-F238E27FC236}">
              <a16:creationId xmlns:a16="http://schemas.microsoft.com/office/drawing/2014/main" id="{00000000-0008-0000-0900-0000F2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754</xdr:row>
      <xdr:rowOff>0</xdr:rowOff>
    </xdr:from>
    <xdr:ext cx="381000" cy="381000"/>
    <xdr:pic>
      <xdr:nvPicPr>
        <xdr:cNvPr id="755" name="image109.jpg">
          <a:extLst>
            <a:ext uri="{FF2B5EF4-FFF2-40B4-BE49-F238E27FC236}">
              <a16:creationId xmlns:a16="http://schemas.microsoft.com/office/drawing/2014/main" id="{00000000-0008-0000-0900-0000F3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755</xdr:row>
      <xdr:rowOff>0</xdr:rowOff>
    </xdr:from>
    <xdr:ext cx="381000" cy="381000"/>
    <xdr:pic>
      <xdr:nvPicPr>
        <xdr:cNvPr id="756" name="image109.jpg">
          <a:extLst>
            <a:ext uri="{FF2B5EF4-FFF2-40B4-BE49-F238E27FC236}">
              <a16:creationId xmlns:a16="http://schemas.microsoft.com/office/drawing/2014/main" id="{00000000-0008-0000-0900-0000F4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756</xdr:row>
      <xdr:rowOff>0</xdr:rowOff>
    </xdr:from>
    <xdr:ext cx="381000" cy="381000"/>
    <xdr:pic>
      <xdr:nvPicPr>
        <xdr:cNvPr id="757" name="image140.png">
          <a:extLst>
            <a:ext uri="{FF2B5EF4-FFF2-40B4-BE49-F238E27FC236}">
              <a16:creationId xmlns:a16="http://schemas.microsoft.com/office/drawing/2014/main" id="{00000000-0008-0000-0900-0000F502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757</xdr:row>
      <xdr:rowOff>0</xdr:rowOff>
    </xdr:from>
    <xdr:ext cx="381000" cy="381000"/>
    <xdr:pic>
      <xdr:nvPicPr>
        <xdr:cNvPr id="758" name="image109.jpg">
          <a:extLst>
            <a:ext uri="{FF2B5EF4-FFF2-40B4-BE49-F238E27FC236}">
              <a16:creationId xmlns:a16="http://schemas.microsoft.com/office/drawing/2014/main" id="{00000000-0008-0000-0900-0000F6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758</xdr:row>
      <xdr:rowOff>0</xdr:rowOff>
    </xdr:from>
    <xdr:ext cx="381000" cy="381000"/>
    <xdr:pic>
      <xdr:nvPicPr>
        <xdr:cNvPr id="759" name="image109.jpg">
          <a:extLst>
            <a:ext uri="{FF2B5EF4-FFF2-40B4-BE49-F238E27FC236}">
              <a16:creationId xmlns:a16="http://schemas.microsoft.com/office/drawing/2014/main" id="{00000000-0008-0000-0900-0000F7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759</xdr:row>
      <xdr:rowOff>0</xdr:rowOff>
    </xdr:from>
    <xdr:ext cx="381000" cy="381000"/>
    <xdr:pic>
      <xdr:nvPicPr>
        <xdr:cNvPr id="760" name="image109.jpg">
          <a:extLst>
            <a:ext uri="{FF2B5EF4-FFF2-40B4-BE49-F238E27FC236}">
              <a16:creationId xmlns:a16="http://schemas.microsoft.com/office/drawing/2014/main" id="{00000000-0008-0000-0900-0000F8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760</xdr:row>
      <xdr:rowOff>0</xdr:rowOff>
    </xdr:from>
    <xdr:ext cx="381000" cy="381000"/>
    <xdr:pic>
      <xdr:nvPicPr>
        <xdr:cNvPr id="761" name="image140.png">
          <a:extLst>
            <a:ext uri="{FF2B5EF4-FFF2-40B4-BE49-F238E27FC236}">
              <a16:creationId xmlns:a16="http://schemas.microsoft.com/office/drawing/2014/main" id="{00000000-0008-0000-0900-0000F902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761</xdr:row>
      <xdr:rowOff>0</xdr:rowOff>
    </xdr:from>
    <xdr:ext cx="381000" cy="381000"/>
    <xdr:pic>
      <xdr:nvPicPr>
        <xdr:cNvPr id="762" name="image109.jpg">
          <a:extLst>
            <a:ext uri="{FF2B5EF4-FFF2-40B4-BE49-F238E27FC236}">
              <a16:creationId xmlns:a16="http://schemas.microsoft.com/office/drawing/2014/main" id="{00000000-0008-0000-0900-0000FA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762</xdr:row>
      <xdr:rowOff>0</xdr:rowOff>
    </xdr:from>
    <xdr:ext cx="381000" cy="381000"/>
    <xdr:pic>
      <xdr:nvPicPr>
        <xdr:cNvPr id="763" name="image109.jpg">
          <a:extLst>
            <a:ext uri="{FF2B5EF4-FFF2-40B4-BE49-F238E27FC236}">
              <a16:creationId xmlns:a16="http://schemas.microsoft.com/office/drawing/2014/main" id="{00000000-0008-0000-0900-0000FB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763</xdr:row>
      <xdr:rowOff>0</xdr:rowOff>
    </xdr:from>
    <xdr:ext cx="381000" cy="381000"/>
    <xdr:pic>
      <xdr:nvPicPr>
        <xdr:cNvPr id="764" name="image109.jpg">
          <a:extLst>
            <a:ext uri="{FF2B5EF4-FFF2-40B4-BE49-F238E27FC236}">
              <a16:creationId xmlns:a16="http://schemas.microsoft.com/office/drawing/2014/main" id="{00000000-0008-0000-0900-0000FC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764</xdr:row>
      <xdr:rowOff>0</xdr:rowOff>
    </xdr:from>
    <xdr:ext cx="381000" cy="381000"/>
    <xdr:pic>
      <xdr:nvPicPr>
        <xdr:cNvPr id="765" name="image140.png">
          <a:extLst>
            <a:ext uri="{FF2B5EF4-FFF2-40B4-BE49-F238E27FC236}">
              <a16:creationId xmlns:a16="http://schemas.microsoft.com/office/drawing/2014/main" id="{00000000-0008-0000-0900-0000FD02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765</xdr:row>
      <xdr:rowOff>0</xdr:rowOff>
    </xdr:from>
    <xdr:ext cx="381000" cy="381000"/>
    <xdr:pic>
      <xdr:nvPicPr>
        <xdr:cNvPr id="766" name="image109.jpg">
          <a:extLst>
            <a:ext uri="{FF2B5EF4-FFF2-40B4-BE49-F238E27FC236}">
              <a16:creationId xmlns:a16="http://schemas.microsoft.com/office/drawing/2014/main" id="{00000000-0008-0000-0900-0000FE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766</xdr:row>
      <xdr:rowOff>0</xdr:rowOff>
    </xdr:from>
    <xdr:ext cx="381000" cy="381000"/>
    <xdr:pic>
      <xdr:nvPicPr>
        <xdr:cNvPr id="767" name="image109.jpg">
          <a:extLst>
            <a:ext uri="{FF2B5EF4-FFF2-40B4-BE49-F238E27FC236}">
              <a16:creationId xmlns:a16="http://schemas.microsoft.com/office/drawing/2014/main" id="{00000000-0008-0000-0900-0000FF02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767</xdr:row>
      <xdr:rowOff>0</xdr:rowOff>
    </xdr:from>
    <xdr:ext cx="381000" cy="381000"/>
    <xdr:pic>
      <xdr:nvPicPr>
        <xdr:cNvPr id="768" name="image109.jpg">
          <a:extLst>
            <a:ext uri="{FF2B5EF4-FFF2-40B4-BE49-F238E27FC236}">
              <a16:creationId xmlns:a16="http://schemas.microsoft.com/office/drawing/2014/main" id="{00000000-0008-0000-0900-00000003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768</xdr:row>
      <xdr:rowOff>0</xdr:rowOff>
    </xdr:from>
    <xdr:ext cx="381000" cy="381000"/>
    <xdr:pic>
      <xdr:nvPicPr>
        <xdr:cNvPr id="769" name="image140.png">
          <a:extLst>
            <a:ext uri="{FF2B5EF4-FFF2-40B4-BE49-F238E27FC236}">
              <a16:creationId xmlns:a16="http://schemas.microsoft.com/office/drawing/2014/main" id="{00000000-0008-0000-0900-00000103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xdr:col>
      <xdr:colOff>0</xdr:colOff>
      <xdr:row>769</xdr:row>
      <xdr:rowOff>0</xdr:rowOff>
    </xdr:from>
    <xdr:ext cx="381000" cy="381000"/>
    <xdr:pic>
      <xdr:nvPicPr>
        <xdr:cNvPr id="770" name="image109.jpg">
          <a:extLst>
            <a:ext uri="{FF2B5EF4-FFF2-40B4-BE49-F238E27FC236}">
              <a16:creationId xmlns:a16="http://schemas.microsoft.com/office/drawing/2014/main" id="{00000000-0008-0000-0900-00000203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xdr:col>
      <xdr:colOff>0</xdr:colOff>
      <xdr:row>770</xdr:row>
      <xdr:rowOff>0</xdr:rowOff>
    </xdr:from>
    <xdr:ext cx="381000" cy="381000"/>
    <xdr:pic>
      <xdr:nvPicPr>
        <xdr:cNvPr id="771" name="image153.png">
          <a:extLst>
            <a:ext uri="{FF2B5EF4-FFF2-40B4-BE49-F238E27FC236}">
              <a16:creationId xmlns:a16="http://schemas.microsoft.com/office/drawing/2014/main" id="{00000000-0008-0000-0900-000003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771</xdr:row>
      <xdr:rowOff>0</xdr:rowOff>
    </xdr:from>
    <xdr:ext cx="381000" cy="381000"/>
    <xdr:pic>
      <xdr:nvPicPr>
        <xdr:cNvPr id="772" name="image58.jpg">
          <a:extLst>
            <a:ext uri="{FF2B5EF4-FFF2-40B4-BE49-F238E27FC236}">
              <a16:creationId xmlns:a16="http://schemas.microsoft.com/office/drawing/2014/main" id="{00000000-0008-0000-0900-000004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772</xdr:row>
      <xdr:rowOff>0</xdr:rowOff>
    </xdr:from>
    <xdr:ext cx="381000" cy="381000"/>
    <xdr:pic>
      <xdr:nvPicPr>
        <xdr:cNvPr id="773" name="image58.jpg">
          <a:extLst>
            <a:ext uri="{FF2B5EF4-FFF2-40B4-BE49-F238E27FC236}">
              <a16:creationId xmlns:a16="http://schemas.microsoft.com/office/drawing/2014/main" id="{00000000-0008-0000-0900-000005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773</xdr:row>
      <xdr:rowOff>0</xdr:rowOff>
    </xdr:from>
    <xdr:ext cx="381000" cy="381000"/>
    <xdr:pic>
      <xdr:nvPicPr>
        <xdr:cNvPr id="774" name="image58.jpg">
          <a:extLst>
            <a:ext uri="{FF2B5EF4-FFF2-40B4-BE49-F238E27FC236}">
              <a16:creationId xmlns:a16="http://schemas.microsoft.com/office/drawing/2014/main" id="{00000000-0008-0000-0900-000006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774</xdr:row>
      <xdr:rowOff>0</xdr:rowOff>
    </xdr:from>
    <xdr:ext cx="381000" cy="381000"/>
    <xdr:pic>
      <xdr:nvPicPr>
        <xdr:cNvPr id="775" name="image58.jpg">
          <a:extLst>
            <a:ext uri="{FF2B5EF4-FFF2-40B4-BE49-F238E27FC236}">
              <a16:creationId xmlns:a16="http://schemas.microsoft.com/office/drawing/2014/main" id="{00000000-0008-0000-0900-000007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775</xdr:row>
      <xdr:rowOff>0</xdr:rowOff>
    </xdr:from>
    <xdr:ext cx="381000" cy="381000"/>
    <xdr:pic>
      <xdr:nvPicPr>
        <xdr:cNvPr id="776" name="image58.jpg">
          <a:extLst>
            <a:ext uri="{FF2B5EF4-FFF2-40B4-BE49-F238E27FC236}">
              <a16:creationId xmlns:a16="http://schemas.microsoft.com/office/drawing/2014/main" id="{00000000-0008-0000-0900-000008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776</xdr:row>
      <xdr:rowOff>0</xdr:rowOff>
    </xdr:from>
    <xdr:ext cx="381000" cy="381000"/>
    <xdr:pic>
      <xdr:nvPicPr>
        <xdr:cNvPr id="777" name="image58.jpg">
          <a:extLst>
            <a:ext uri="{FF2B5EF4-FFF2-40B4-BE49-F238E27FC236}">
              <a16:creationId xmlns:a16="http://schemas.microsoft.com/office/drawing/2014/main" id="{00000000-0008-0000-0900-000009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777</xdr:row>
      <xdr:rowOff>0</xdr:rowOff>
    </xdr:from>
    <xdr:ext cx="381000" cy="381000"/>
    <xdr:pic>
      <xdr:nvPicPr>
        <xdr:cNvPr id="778" name="image58.jpg">
          <a:extLst>
            <a:ext uri="{FF2B5EF4-FFF2-40B4-BE49-F238E27FC236}">
              <a16:creationId xmlns:a16="http://schemas.microsoft.com/office/drawing/2014/main" id="{00000000-0008-0000-0900-00000A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778</xdr:row>
      <xdr:rowOff>0</xdr:rowOff>
    </xdr:from>
    <xdr:ext cx="381000" cy="381000"/>
    <xdr:pic>
      <xdr:nvPicPr>
        <xdr:cNvPr id="779" name="image58.jpg">
          <a:extLst>
            <a:ext uri="{FF2B5EF4-FFF2-40B4-BE49-F238E27FC236}">
              <a16:creationId xmlns:a16="http://schemas.microsoft.com/office/drawing/2014/main" id="{00000000-0008-0000-0900-00000B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779</xdr:row>
      <xdr:rowOff>0</xdr:rowOff>
    </xdr:from>
    <xdr:ext cx="381000" cy="381000"/>
    <xdr:pic>
      <xdr:nvPicPr>
        <xdr:cNvPr id="780" name="image58.jpg">
          <a:extLst>
            <a:ext uri="{FF2B5EF4-FFF2-40B4-BE49-F238E27FC236}">
              <a16:creationId xmlns:a16="http://schemas.microsoft.com/office/drawing/2014/main" id="{00000000-0008-0000-0900-00000C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780</xdr:row>
      <xdr:rowOff>0</xdr:rowOff>
    </xdr:from>
    <xdr:ext cx="381000" cy="381000"/>
    <xdr:pic>
      <xdr:nvPicPr>
        <xdr:cNvPr id="781" name="image58.jpg">
          <a:extLst>
            <a:ext uri="{FF2B5EF4-FFF2-40B4-BE49-F238E27FC236}">
              <a16:creationId xmlns:a16="http://schemas.microsoft.com/office/drawing/2014/main" id="{00000000-0008-0000-0900-00000D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781</xdr:row>
      <xdr:rowOff>0</xdr:rowOff>
    </xdr:from>
    <xdr:ext cx="381000" cy="381000"/>
    <xdr:pic>
      <xdr:nvPicPr>
        <xdr:cNvPr id="782" name="image58.jpg">
          <a:extLst>
            <a:ext uri="{FF2B5EF4-FFF2-40B4-BE49-F238E27FC236}">
              <a16:creationId xmlns:a16="http://schemas.microsoft.com/office/drawing/2014/main" id="{00000000-0008-0000-0900-00000E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782</xdr:row>
      <xdr:rowOff>0</xdr:rowOff>
    </xdr:from>
    <xdr:ext cx="381000" cy="381000"/>
    <xdr:pic>
      <xdr:nvPicPr>
        <xdr:cNvPr id="783" name="image58.jpg">
          <a:extLst>
            <a:ext uri="{FF2B5EF4-FFF2-40B4-BE49-F238E27FC236}">
              <a16:creationId xmlns:a16="http://schemas.microsoft.com/office/drawing/2014/main" id="{00000000-0008-0000-0900-00000F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783</xdr:row>
      <xdr:rowOff>0</xdr:rowOff>
    </xdr:from>
    <xdr:ext cx="381000" cy="381000"/>
    <xdr:pic>
      <xdr:nvPicPr>
        <xdr:cNvPr id="784" name="image58.jpg">
          <a:extLst>
            <a:ext uri="{FF2B5EF4-FFF2-40B4-BE49-F238E27FC236}">
              <a16:creationId xmlns:a16="http://schemas.microsoft.com/office/drawing/2014/main" id="{00000000-0008-0000-0900-000010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784</xdr:row>
      <xdr:rowOff>0</xdr:rowOff>
    </xdr:from>
    <xdr:ext cx="381000" cy="381000"/>
    <xdr:pic>
      <xdr:nvPicPr>
        <xdr:cNvPr id="785" name="image58.jpg">
          <a:extLst>
            <a:ext uri="{FF2B5EF4-FFF2-40B4-BE49-F238E27FC236}">
              <a16:creationId xmlns:a16="http://schemas.microsoft.com/office/drawing/2014/main" id="{00000000-0008-0000-0900-000011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785</xdr:row>
      <xdr:rowOff>0</xdr:rowOff>
    </xdr:from>
    <xdr:ext cx="381000" cy="381000"/>
    <xdr:pic>
      <xdr:nvPicPr>
        <xdr:cNvPr id="786" name="image58.jpg">
          <a:extLst>
            <a:ext uri="{FF2B5EF4-FFF2-40B4-BE49-F238E27FC236}">
              <a16:creationId xmlns:a16="http://schemas.microsoft.com/office/drawing/2014/main" id="{00000000-0008-0000-0900-00001203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xdr:col>
      <xdr:colOff>0</xdr:colOff>
      <xdr:row>786</xdr:row>
      <xdr:rowOff>0</xdr:rowOff>
    </xdr:from>
    <xdr:ext cx="381000" cy="381000"/>
    <xdr:pic>
      <xdr:nvPicPr>
        <xdr:cNvPr id="787" name="image153.png">
          <a:extLst>
            <a:ext uri="{FF2B5EF4-FFF2-40B4-BE49-F238E27FC236}">
              <a16:creationId xmlns:a16="http://schemas.microsoft.com/office/drawing/2014/main" id="{00000000-0008-0000-0900-000013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787</xdr:row>
      <xdr:rowOff>0</xdr:rowOff>
    </xdr:from>
    <xdr:ext cx="381000" cy="381000"/>
    <xdr:pic>
      <xdr:nvPicPr>
        <xdr:cNvPr id="788" name="image36.jpg">
          <a:extLst>
            <a:ext uri="{FF2B5EF4-FFF2-40B4-BE49-F238E27FC236}">
              <a16:creationId xmlns:a16="http://schemas.microsoft.com/office/drawing/2014/main" id="{00000000-0008-0000-0900-00001403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788</xdr:row>
      <xdr:rowOff>0</xdr:rowOff>
    </xdr:from>
    <xdr:ext cx="381000" cy="381000"/>
    <xdr:pic>
      <xdr:nvPicPr>
        <xdr:cNvPr id="789" name="image17.jpg">
          <a:extLst>
            <a:ext uri="{FF2B5EF4-FFF2-40B4-BE49-F238E27FC236}">
              <a16:creationId xmlns:a16="http://schemas.microsoft.com/office/drawing/2014/main" id="{00000000-0008-0000-0900-000015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789</xdr:row>
      <xdr:rowOff>0</xdr:rowOff>
    </xdr:from>
    <xdr:ext cx="381000" cy="381000"/>
    <xdr:pic>
      <xdr:nvPicPr>
        <xdr:cNvPr id="790" name="image20.png">
          <a:extLst>
            <a:ext uri="{FF2B5EF4-FFF2-40B4-BE49-F238E27FC236}">
              <a16:creationId xmlns:a16="http://schemas.microsoft.com/office/drawing/2014/main" id="{00000000-0008-0000-0900-000016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790</xdr:row>
      <xdr:rowOff>0</xdr:rowOff>
    </xdr:from>
    <xdr:ext cx="381000" cy="381000"/>
    <xdr:pic>
      <xdr:nvPicPr>
        <xdr:cNvPr id="791" name="image20.png">
          <a:extLst>
            <a:ext uri="{FF2B5EF4-FFF2-40B4-BE49-F238E27FC236}">
              <a16:creationId xmlns:a16="http://schemas.microsoft.com/office/drawing/2014/main" id="{00000000-0008-0000-0900-000017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791</xdr:row>
      <xdr:rowOff>0</xdr:rowOff>
    </xdr:from>
    <xdr:ext cx="381000" cy="381000"/>
    <xdr:pic>
      <xdr:nvPicPr>
        <xdr:cNvPr id="792" name="image20.png">
          <a:extLst>
            <a:ext uri="{FF2B5EF4-FFF2-40B4-BE49-F238E27FC236}">
              <a16:creationId xmlns:a16="http://schemas.microsoft.com/office/drawing/2014/main" id="{00000000-0008-0000-0900-000018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792</xdr:row>
      <xdr:rowOff>0</xdr:rowOff>
    </xdr:from>
    <xdr:ext cx="381000" cy="381000"/>
    <xdr:pic>
      <xdr:nvPicPr>
        <xdr:cNvPr id="793" name="image17.jpg">
          <a:extLst>
            <a:ext uri="{FF2B5EF4-FFF2-40B4-BE49-F238E27FC236}">
              <a16:creationId xmlns:a16="http://schemas.microsoft.com/office/drawing/2014/main" id="{00000000-0008-0000-0900-000019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793</xdr:row>
      <xdr:rowOff>0</xdr:rowOff>
    </xdr:from>
    <xdr:ext cx="381000" cy="381000"/>
    <xdr:pic>
      <xdr:nvPicPr>
        <xdr:cNvPr id="794" name="image17.jpg">
          <a:extLst>
            <a:ext uri="{FF2B5EF4-FFF2-40B4-BE49-F238E27FC236}">
              <a16:creationId xmlns:a16="http://schemas.microsoft.com/office/drawing/2014/main" id="{00000000-0008-0000-0900-00001A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794</xdr:row>
      <xdr:rowOff>0</xdr:rowOff>
    </xdr:from>
    <xdr:ext cx="381000" cy="381000"/>
    <xdr:pic>
      <xdr:nvPicPr>
        <xdr:cNvPr id="795" name="image17.jpg">
          <a:extLst>
            <a:ext uri="{FF2B5EF4-FFF2-40B4-BE49-F238E27FC236}">
              <a16:creationId xmlns:a16="http://schemas.microsoft.com/office/drawing/2014/main" id="{00000000-0008-0000-0900-00001B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795</xdr:row>
      <xdr:rowOff>0</xdr:rowOff>
    </xdr:from>
    <xdr:ext cx="381000" cy="381000"/>
    <xdr:pic>
      <xdr:nvPicPr>
        <xdr:cNvPr id="796" name="image17.jpg">
          <a:extLst>
            <a:ext uri="{FF2B5EF4-FFF2-40B4-BE49-F238E27FC236}">
              <a16:creationId xmlns:a16="http://schemas.microsoft.com/office/drawing/2014/main" id="{00000000-0008-0000-0900-00001C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796</xdr:row>
      <xdr:rowOff>0</xdr:rowOff>
    </xdr:from>
    <xdr:ext cx="381000" cy="381000"/>
    <xdr:pic>
      <xdr:nvPicPr>
        <xdr:cNvPr id="797" name="image17.jpg">
          <a:extLst>
            <a:ext uri="{FF2B5EF4-FFF2-40B4-BE49-F238E27FC236}">
              <a16:creationId xmlns:a16="http://schemas.microsoft.com/office/drawing/2014/main" id="{00000000-0008-0000-0900-00001D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797</xdr:row>
      <xdr:rowOff>0</xdr:rowOff>
    </xdr:from>
    <xdr:ext cx="381000" cy="381000"/>
    <xdr:pic>
      <xdr:nvPicPr>
        <xdr:cNvPr id="798" name="image17.jpg">
          <a:extLst>
            <a:ext uri="{FF2B5EF4-FFF2-40B4-BE49-F238E27FC236}">
              <a16:creationId xmlns:a16="http://schemas.microsoft.com/office/drawing/2014/main" id="{00000000-0008-0000-0900-00001E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798</xdr:row>
      <xdr:rowOff>0</xdr:rowOff>
    </xdr:from>
    <xdr:ext cx="381000" cy="381000"/>
    <xdr:pic>
      <xdr:nvPicPr>
        <xdr:cNvPr id="799" name="image17.jpg">
          <a:extLst>
            <a:ext uri="{FF2B5EF4-FFF2-40B4-BE49-F238E27FC236}">
              <a16:creationId xmlns:a16="http://schemas.microsoft.com/office/drawing/2014/main" id="{00000000-0008-0000-0900-00001F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799</xdr:row>
      <xdr:rowOff>0</xdr:rowOff>
    </xdr:from>
    <xdr:ext cx="381000" cy="381000"/>
    <xdr:pic>
      <xdr:nvPicPr>
        <xdr:cNvPr id="800" name="image20.png">
          <a:extLst>
            <a:ext uri="{FF2B5EF4-FFF2-40B4-BE49-F238E27FC236}">
              <a16:creationId xmlns:a16="http://schemas.microsoft.com/office/drawing/2014/main" id="{00000000-0008-0000-0900-000020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800</xdr:row>
      <xdr:rowOff>0</xdr:rowOff>
    </xdr:from>
    <xdr:ext cx="381000" cy="381000"/>
    <xdr:pic>
      <xdr:nvPicPr>
        <xdr:cNvPr id="801" name="image36.jpg">
          <a:extLst>
            <a:ext uri="{FF2B5EF4-FFF2-40B4-BE49-F238E27FC236}">
              <a16:creationId xmlns:a16="http://schemas.microsoft.com/office/drawing/2014/main" id="{00000000-0008-0000-0900-00002103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801</xdr:row>
      <xdr:rowOff>0</xdr:rowOff>
    </xdr:from>
    <xdr:ext cx="381000" cy="381000"/>
    <xdr:pic>
      <xdr:nvPicPr>
        <xdr:cNvPr id="802" name="image17.jpg">
          <a:extLst>
            <a:ext uri="{FF2B5EF4-FFF2-40B4-BE49-F238E27FC236}">
              <a16:creationId xmlns:a16="http://schemas.microsoft.com/office/drawing/2014/main" id="{00000000-0008-0000-0900-000022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802</xdr:row>
      <xdr:rowOff>0</xdr:rowOff>
    </xdr:from>
    <xdr:ext cx="381000" cy="381000"/>
    <xdr:pic>
      <xdr:nvPicPr>
        <xdr:cNvPr id="803" name="image20.png">
          <a:extLst>
            <a:ext uri="{FF2B5EF4-FFF2-40B4-BE49-F238E27FC236}">
              <a16:creationId xmlns:a16="http://schemas.microsoft.com/office/drawing/2014/main" id="{00000000-0008-0000-0900-000023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803</xdr:row>
      <xdr:rowOff>0</xdr:rowOff>
    </xdr:from>
    <xdr:ext cx="381000" cy="381000"/>
    <xdr:pic>
      <xdr:nvPicPr>
        <xdr:cNvPr id="804" name="image20.png">
          <a:extLst>
            <a:ext uri="{FF2B5EF4-FFF2-40B4-BE49-F238E27FC236}">
              <a16:creationId xmlns:a16="http://schemas.microsoft.com/office/drawing/2014/main" id="{00000000-0008-0000-0900-000024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804</xdr:row>
      <xdr:rowOff>0</xdr:rowOff>
    </xdr:from>
    <xdr:ext cx="381000" cy="381000"/>
    <xdr:pic>
      <xdr:nvPicPr>
        <xdr:cNvPr id="805" name="image20.png">
          <a:extLst>
            <a:ext uri="{FF2B5EF4-FFF2-40B4-BE49-F238E27FC236}">
              <a16:creationId xmlns:a16="http://schemas.microsoft.com/office/drawing/2014/main" id="{00000000-0008-0000-0900-000025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805</xdr:row>
      <xdr:rowOff>0</xdr:rowOff>
    </xdr:from>
    <xdr:ext cx="381000" cy="381000"/>
    <xdr:pic>
      <xdr:nvPicPr>
        <xdr:cNvPr id="806" name="image17.jpg">
          <a:extLst>
            <a:ext uri="{FF2B5EF4-FFF2-40B4-BE49-F238E27FC236}">
              <a16:creationId xmlns:a16="http://schemas.microsoft.com/office/drawing/2014/main" id="{00000000-0008-0000-0900-000026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806</xdr:row>
      <xdr:rowOff>0</xdr:rowOff>
    </xdr:from>
    <xdr:ext cx="381000" cy="381000"/>
    <xdr:pic>
      <xdr:nvPicPr>
        <xdr:cNvPr id="807" name="image17.jpg">
          <a:extLst>
            <a:ext uri="{FF2B5EF4-FFF2-40B4-BE49-F238E27FC236}">
              <a16:creationId xmlns:a16="http://schemas.microsoft.com/office/drawing/2014/main" id="{00000000-0008-0000-0900-000027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807</xdr:row>
      <xdr:rowOff>0</xdr:rowOff>
    </xdr:from>
    <xdr:ext cx="381000" cy="381000"/>
    <xdr:pic>
      <xdr:nvPicPr>
        <xdr:cNvPr id="808" name="image17.jpg">
          <a:extLst>
            <a:ext uri="{FF2B5EF4-FFF2-40B4-BE49-F238E27FC236}">
              <a16:creationId xmlns:a16="http://schemas.microsoft.com/office/drawing/2014/main" id="{00000000-0008-0000-0900-000028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808</xdr:row>
      <xdr:rowOff>0</xdr:rowOff>
    </xdr:from>
    <xdr:ext cx="381000" cy="381000"/>
    <xdr:pic>
      <xdr:nvPicPr>
        <xdr:cNvPr id="809" name="image17.jpg">
          <a:extLst>
            <a:ext uri="{FF2B5EF4-FFF2-40B4-BE49-F238E27FC236}">
              <a16:creationId xmlns:a16="http://schemas.microsoft.com/office/drawing/2014/main" id="{00000000-0008-0000-0900-000029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809</xdr:row>
      <xdr:rowOff>0</xdr:rowOff>
    </xdr:from>
    <xdr:ext cx="381000" cy="381000"/>
    <xdr:pic>
      <xdr:nvPicPr>
        <xdr:cNvPr id="810" name="image17.jpg">
          <a:extLst>
            <a:ext uri="{FF2B5EF4-FFF2-40B4-BE49-F238E27FC236}">
              <a16:creationId xmlns:a16="http://schemas.microsoft.com/office/drawing/2014/main" id="{00000000-0008-0000-0900-00002A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810</xdr:row>
      <xdr:rowOff>0</xdr:rowOff>
    </xdr:from>
    <xdr:ext cx="381000" cy="381000"/>
    <xdr:pic>
      <xdr:nvPicPr>
        <xdr:cNvPr id="811" name="image17.jpg">
          <a:extLst>
            <a:ext uri="{FF2B5EF4-FFF2-40B4-BE49-F238E27FC236}">
              <a16:creationId xmlns:a16="http://schemas.microsoft.com/office/drawing/2014/main" id="{00000000-0008-0000-0900-00002B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811</xdr:row>
      <xdr:rowOff>0</xdr:rowOff>
    </xdr:from>
    <xdr:ext cx="381000" cy="381000"/>
    <xdr:pic>
      <xdr:nvPicPr>
        <xdr:cNvPr id="812" name="image20.png">
          <a:extLst>
            <a:ext uri="{FF2B5EF4-FFF2-40B4-BE49-F238E27FC236}">
              <a16:creationId xmlns:a16="http://schemas.microsoft.com/office/drawing/2014/main" id="{00000000-0008-0000-0900-00002C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812</xdr:row>
      <xdr:rowOff>0</xdr:rowOff>
    </xdr:from>
    <xdr:ext cx="381000" cy="381000"/>
    <xdr:pic>
      <xdr:nvPicPr>
        <xdr:cNvPr id="813" name="image36.jpg">
          <a:extLst>
            <a:ext uri="{FF2B5EF4-FFF2-40B4-BE49-F238E27FC236}">
              <a16:creationId xmlns:a16="http://schemas.microsoft.com/office/drawing/2014/main" id="{00000000-0008-0000-0900-00002D03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813</xdr:row>
      <xdr:rowOff>0</xdr:rowOff>
    </xdr:from>
    <xdr:ext cx="381000" cy="381000"/>
    <xdr:pic>
      <xdr:nvPicPr>
        <xdr:cNvPr id="814" name="image17.jpg">
          <a:extLst>
            <a:ext uri="{FF2B5EF4-FFF2-40B4-BE49-F238E27FC236}">
              <a16:creationId xmlns:a16="http://schemas.microsoft.com/office/drawing/2014/main" id="{00000000-0008-0000-0900-00002E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814</xdr:row>
      <xdr:rowOff>0</xdr:rowOff>
    </xdr:from>
    <xdr:ext cx="381000" cy="381000"/>
    <xdr:pic>
      <xdr:nvPicPr>
        <xdr:cNvPr id="815" name="image20.png">
          <a:extLst>
            <a:ext uri="{FF2B5EF4-FFF2-40B4-BE49-F238E27FC236}">
              <a16:creationId xmlns:a16="http://schemas.microsoft.com/office/drawing/2014/main" id="{00000000-0008-0000-0900-00002F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815</xdr:row>
      <xdr:rowOff>0</xdr:rowOff>
    </xdr:from>
    <xdr:ext cx="381000" cy="381000"/>
    <xdr:pic>
      <xdr:nvPicPr>
        <xdr:cNvPr id="816" name="image36.jpg">
          <a:extLst>
            <a:ext uri="{FF2B5EF4-FFF2-40B4-BE49-F238E27FC236}">
              <a16:creationId xmlns:a16="http://schemas.microsoft.com/office/drawing/2014/main" id="{00000000-0008-0000-0900-00003003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816</xdr:row>
      <xdr:rowOff>0</xdr:rowOff>
    </xdr:from>
    <xdr:ext cx="381000" cy="381000"/>
    <xdr:pic>
      <xdr:nvPicPr>
        <xdr:cNvPr id="817" name="image17.jpg">
          <a:extLst>
            <a:ext uri="{FF2B5EF4-FFF2-40B4-BE49-F238E27FC236}">
              <a16:creationId xmlns:a16="http://schemas.microsoft.com/office/drawing/2014/main" id="{00000000-0008-0000-0900-000031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817</xdr:row>
      <xdr:rowOff>0</xdr:rowOff>
    </xdr:from>
    <xdr:ext cx="381000" cy="381000"/>
    <xdr:pic>
      <xdr:nvPicPr>
        <xdr:cNvPr id="818" name="image20.png">
          <a:extLst>
            <a:ext uri="{FF2B5EF4-FFF2-40B4-BE49-F238E27FC236}">
              <a16:creationId xmlns:a16="http://schemas.microsoft.com/office/drawing/2014/main" id="{00000000-0008-0000-0900-000032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818</xdr:row>
      <xdr:rowOff>0</xdr:rowOff>
    </xdr:from>
    <xdr:ext cx="381000" cy="381000"/>
    <xdr:pic>
      <xdr:nvPicPr>
        <xdr:cNvPr id="819" name="image20.png">
          <a:extLst>
            <a:ext uri="{FF2B5EF4-FFF2-40B4-BE49-F238E27FC236}">
              <a16:creationId xmlns:a16="http://schemas.microsoft.com/office/drawing/2014/main" id="{00000000-0008-0000-0900-000033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819</xdr:row>
      <xdr:rowOff>0</xdr:rowOff>
    </xdr:from>
    <xdr:ext cx="381000" cy="381000"/>
    <xdr:pic>
      <xdr:nvPicPr>
        <xdr:cNvPr id="820" name="image17.jpg">
          <a:extLst>
            <a:ext uri="{FF2B5EF4-FFF2-40B4-BE49-F238E27FC236}">
              <a16:creationId xmlns:a16="http://schemas.microsoft.com/office/drawing/2014/main" id="{00000000-0008-0000-0900-000034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820</xdr:row>
      <xdr:rowOff>0</xdr:rowOff>
    </xdr:from>
    <xdr:ext cx="381000" cy="381000"/>
    <xdr:pic>
      <xdr:nvPicPr>
        <xdr:cNvPr id="821" name="image17.jpg">
          <a:extLst>
            <a:ext uri="{FF2B5EF4-FFF2-40B4-BE49-F238E27FC236}">
              <a16:creationId xmlns:a16="http://schemas.microsoft.com/office/drawing/2014/main" id="{00000000-0008-0000-0900-000035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821</xdr:row>
      <xdr:rowOff>0</xdr:rowOff>
    </xdr:from>
    <xdr:ext cx="381000" cy="381000"/>
    <xdr:pic>
      <xdr:nvPicPr>
        <xdr:cNvPr id="822" name="image17.jpg">
          <a:extLst>
            <a:ext uri="{FF2B5EF4-FFF2-40B4-BE49-F238E27FC236}">
              <a16:creationId xmlns:a16="http://schemas.microsoft.com/office/drawing/2014/main" id="{00000000-0008-0000-0900-000036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822</xdr:row>
      <xdr:rowOff>0</xdr:rowOff>
    </xdr:from>
    <xdr:ext cx="381000" cy="381000"/>
    <xdr:pic>
      <xdr:nvPicPr>
        <xdr:cNvPr id="823" name="image17.jpg">
          <a:extLst>
            <a:ext uri="{FF2B5EF4-FFF2-40B4-BE49-F238E27FC236}">
              <a16:creationId xmlns:a16="http://schemas.microsoft.com/office/drawing/2014/main" id="{00000000-0008-0000-0900-000037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823</xdr:row>
      <xdr:rowOff>0</xdr:rowOff>
    </xdr:from>
    <xdr:ext cx="381000" cy="381000"/>
    <xdr:pic>
      <xdr:nvPicPr>
        <xdr:cNvPr id="824" name="image17.jpg">
          <a:extLst>
            <a:ext uri="{FF2B5EF4-FFF2-40B4-BE49-F238E27FC236}">
              <a16:creationId xmlns:a16="http://schemas.microsoft.com/office/drawing/2014/main" id="{00000000-0008-0000-0900-000038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824</xdr:row>
      <xdr:rowOff>0</xdr:rowOff>
    </xdr:from>
    <xdr:ext cx="381000" cy="381000"/>
    <xdr:pic>
      <xdr:nvPicPr>
        <xdr:cNvPr id="825" name="image17.jpg">
          <a:extLst>
            <a:ext uri="{FF2B5EF4-FFF2-40B4-BE49-F238E27FC236}">
              <a16:creationId xmlns:a16="http://schemas.microsoft.com/office/drawing/2014/main" id="{00000000-0008-0000-0900-000039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825</xdr:row>
      <xdr:rowOff>0</xdr:rowOff>
    </xdr:from>
    <xdr:ext cx="381000" cy="381000"/>
    <xdr:pic>
      <xdr:nvPicPr>
        <xdr:cNvPr id="826" name="image17.jpg">
          <a:extLst>
            <a:ext uri="{FF2B5EF4-FFF2-40B4-BE49-F238E27FC236}">
              <a16:creationId xmlns:a16="http://schemas.microsoft.com/office/drawing/2014/main" id="{00000000-0008-0000-0900-00003A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826</xdr:row>
      <xdr:rowOff>0</xdr:rowOff>
    </xdr:from>
    <xdr:ext cx="381000" cy="381000"/>
    <xdr:pic>
      <xdr:nvPicPr>
        <xdr:cNvPr id="827" name="image17.jpg">
          <a:extLst>
            <a:ext uri="{FF2B5EF4-FFF2-40B4-BE49-F238E27FC236}">
              <a16:creationId xmlns:a16="http://schemas.microsoft.com/office/drawing/2014/main" id="{00000000-0008-0000-0900-00003B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827</xdr:row>
      <xdr:rowOff>0</xdr:rowOff>
    </xdr:from>
    <xdr:ext cx="381000" cy="381000"/>
    <xdr:pic>
      <xdr:nvPicPr>
        <xdr:cNvPr id="828" name="image20.png">
          <a:extLst>
            <a:ext uri="{FF2B5EF4-FFF2-40B4-BE49-F238E27FC236}">
              <a16:creationId xmlns:a16="http://schemas.microsoft.com/office/drawing/2014/main" id="{00000000-0008-0000-0900-00003C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828</xdr:row>
      <xdr:rowOff>0</xdr:rowOff>
    </xdr:from>
    <xdr:ext cx="381000" cy="381000"/>
    <xdr:pic>
      <xdr:nvPicPr>
        <xdr:cNvPr id="829" name="image20.png">
          <a:extLst>
            <a:ext uri="{FF2B5EF4-FFF2-40B4-BE49-F238E27FC236}">
              <a16:creationId xmlns:a16="http://schemas.microsoft.com/office/drawing/2014/main" id="{00000000-0008-0000-0900-00003D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829</xdr:row>
      <xdr:rowOff>0</xdr:rowOff>
    </xdr:from>
    <xdr:ext cx="381000" cy="381000"/>
    <xdr:pic>
      <xdr:nvPicPr>
        <xdr:cNvPr id="830" name="image20.png">
          <a:extLst>
            <a:ext uri="{FF2B5EF4-FFF2-40B4-BE49-F238E27FC236}">
              <a16:creationId xmlns:a16="http://schemas.microsoft.com/office/drawing/2014/main" id="{00000000-0008-0000-0900-00003E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830</xdr:row>
      <xdr:rowOff>0</xdr:rowOff>
    </xdr:from>
    <xdr:ext cx="381000" cy="381000"/>
    <xdr:pic>
      <xdr:nvPicPr>
        <xdr:cNvPr id="831" name="image20.png">
          <a:extLst>
            <a:ext uri="{FF2B5EF4-FFF2-40B4-BE49-F238E27FC236}">
              <a16:creationId xmlns:a16="http://schemas.microsoft.com/office/drawing/2014/main" id="{00000000-0008-0000-0900-00003F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831</xdr:row>
      <xdr:rowOff>0</xdr:rowOff>
    </xdr:from>
    <xdr:ext cx="381000" cy="381000"/>
    <xdr:pic>
      <xdr:nvPicPr>
        <xdr:cNvPr id="832" name="image36.jpg">
          <a:extLst>
            <a:ext uri="{FF2B5EF4-FFF2-40B4-BE49-F238E27FC236}">
              <a16:creationId xmlns:a16="http://schemas.microsoft.com/office/drawing/2014/main" id="{00000000-0008-0000-0900-00004003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xdr:col>
      <xdr:colOff>0</xdr:colOff>
      <xdr:row>832</xdr:row>
      <xdr:rowOff>0</xdr:rowOff>
    </xdr:from>
    <xdr:ext cx="381000" cy="381000"/>
    <xdr:pic>
      <xdr:nvPicPr>
        <xdr:cNvPr id="833" name="image17.jpg">
          <a:extLst>
            <a:ext uri="{FF2B5EF4-FFF2-40B4-BE49-F238E27FC236}">
              <a16:creationId xmlns:a16="http://schemas.microsoft.com/office/drawing/2014/main" id="{00000000-0008-0000-0900-000041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833</xdr:row>
      <xdr:rowOff>0</xdr:rowOff>
    </xdr:from>
    <xdr:ext cx="381000" cy="381000"/>
    <xdr:pic>
      <xdr:nvPicPr>
        <xdr:cNvPr id="834" name="image20.png">
          <a:extLst>
            <a:ext uri="{FF2B5EF4-FFF2-40B4-BE49-F238E27FC236}">
              <a16:creationId xmlns:a16="http://schemas.microsoft.com/office/drawing/2014/main" id="{00000000-0008-0000-0900-000042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834</xdr:row>
      <xdr:rowOff>0</xdr:rowOff>
    </xdr:from>
    <xdr:ext cx="381000" cy="381000"/>
    <xdr:pic>
      <xdr:nvPicPr>
        <xdr:cNvPr id="835" name="image20.png">
          <a:extLst>
            <a:ext uri="{FF2B5EF4-FFF2-40B4-BE49-F238E27FC236}">
              <a16:creationId xmlns:a16="http://schemas.microsoft.com/office/drawing/2014/main" id="{00000000-0008-0000-0900-000043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835</xdr:row>
      <xdr:rowOff>0</xdr:rowOff>
    </xdr:from>
    <xdr:ext cx="381000" cy="381000"/>
    <xdr:pic>
      <xdr:nvPicPr>
        <xdr:cNvPr id="836" name="image17.jpg">
          <a:extLst>
            <a:ext uri="{FF2B5EF4-FFF2-40B4-BE49-F238E27FC236}">
              <a16:creationId xmlns:a16="http://schemas.microsoft.com/office/drawing/2014/main" id="{00000000-0008-0000-0900-000044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836</xdr:row>
      <xdr:rowOff>0</xdr:rowOff>
    </xdr:from>
    <xdr:ext cx="381000" cy="381000"/>
    <xdr:pic>
      <xdr:nvPicPr>
        <xdr:cNvPr id="837" name="image17.jpg">
          <a:extLst>
            <a:ext uri="{FF2B5EF4-FFF2-40B4-BE49-F238E27FC236}">
              <a16:creationId xmlns:a16="http://schemas.microsoft.com/office/drawing/2014/main" id="{00000000-0008-0000-0900-000045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837</xdr:row>
      <xdr:rowOff>0</xdr:rowOff>
    </xdr:from>
    <xdr:ext cx="381000" cy="381000"/>
    <xdr:pic>
      <xdr:nvPicPr>
        <xdr:cNvPr id="838" name="image17.jpg">
          <a:extLst>
            <a:ext uri="{FF2B5EF4-FFF2-40B4-BE49-F238E27FC236}">
              <a16:creationId xmlns:a16="http://schemas.microsoft.com/office/drawing/2014/main" id="{00000000-0008-0000-0900-000046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838</xdr:row>
      <xdr:rowOff>0</xdr:rowOff>
    </xdr:from>
    <xdr:ext cx="381000" cy="381000"/>
    <xdr:pic>
      <xdr:nvPicPr>
        <xdr:cNvPr id="839" name="image17.jpg">
          <a:extLst>
            <a:ext uri="{FF2B5EF4-FFF2-40B4-BE49-F238E27FC236}">
              <a16:creationId xmlns:a16="http://schemas.microsoft.com/office/drawing/2014/main" id="{00000000-0008-0000-0900-000047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839</xdr:row>
      <xdr:rowOff>0</xdr:rowOff>
    </xdr:from>
    <xdr:ext cx="381000" cy="381000"/>
    <xdr:pic>
      <xdr:nvPicPr>
        <xdr:cNvPr id="840" name="image17.jpg">
          <a:extLst>
            <a:ext uri="{FF2B5EF4-FFF2-40B4-BE49-F238E27FC236}">
              <a16:creationId xmlns:a16="http://schemas.microsoft.com/office/drawing/2014/main" id="{00000000-0008-0000-0900-000048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840</xdr:row>
      <xdr:rowOff>0</xdr:rowOff>
    </xdr:from>
    <xdr:ext cx="381000" cy="381000"/>
    <xdr:pic>
      <xdr:nvPicPr>
        <xdr:cNvPr id="841" name="image17.jpg">
          <a:extLst>
            <a:ext uri="{FF2B5EF4-FFF2-40B4-BE49-F238E27FC236}">
              <a16:creationId xmlns:a16="http://schemas.microsoft.com/office/drawing/2014/main" id="{00000000-0008-0000-0900-000049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841</xdr:row>
      <xdr:rowOff>0</xdr:rowOff>
    </xdr:from>
    <xdr:ext cx="381000" cy="381000"/>
    <xdr:pic>
      <xdr:nvPicPr>
        <xdr:cNvPr id="842" name="image17.jpg">
          <a:extLst>
            <a:ext uri="{FF2B5EF4-FFF2-40B4-BE49-F238E27FC236}">
              <a16:creationId xmlns:a16="http://schemas.microsoft.com/office/drawing/2014/main" id="{00000000-0008-0000-0900-00004A03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xdr:col>
      <xdr:colOff>0</xdr:colOff>
      <xdr:row>842</xdr:row>
      <xdr:rowOff>0</xdr:rowOff>
    </xdr:from>
    <xdr:ext cx="381000" cy="381000"/>
    <xdr:pic>
      <xdr:nvPicPr>
        <xdr:cNvPr id="843" name="image20.png">
          <a:extLst>
            <a:ext uri="{FF2B5EF4-FFF2-40B4-BE49-F238E27FC236}">
              <a16:creationId xmlns:a16="http://schemas.microsoft.com/office/drawing/2014/main" id="{00000000-0008-0000-0900-00004B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843</xdr:row>
      <xdr:rowOff>0</xdr:rowOff>
    </xdr:from>
    <xdr:ext cx="381000" cy="381000"/>
    <xdr:pic>
      <xdr:nvPicPr>
        <xdr:cNvPr id="844" name="image153.png">
          <a:extLst>
            <a:ext uri="{FF2B5EF4-FFF2-40B4-BE49-F238E27FC236}">
              <a16:creationId xmlns:a16="http://schemas.microsoft.com/office/drawing/2014/main" id="{00000000-0008-0000-0900-00004C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844</xdr:row>
      <xdr:rowOff>0</xdr:rowOff>
    </xdr:from>
    <xdr:ext cx="381000" cy="381000"/>
    <xdr:pic>
      <xdr:nvPicPr>
        <xdr:cNvPr id="845" name="image51.jpg">
          <a:extLst>
            <a:ext uri="{FF2B5EF4-FFF2-40B4-BE49-F238E27FC236}">
              <a16:creationId xmlns:a16="http://schemas.microsoft.com/office/drawing/2014/main" id="{00000000-0008-0000-0900-00004D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845</xdr:row>
      <xdr:rowOff>0</xdr:rowOff>
    </xdr:from>
    <xdr:ext cx="381000" cy="381000"/>
    <xdr:pic>
      <xdr:nvPicPr>
        <xdr:cNvPr id="846" name="image51.jpg">
          <a:extLst>
            <a:ext uri="{FF2B5EF4-FFF2-40B4-BE49-F238E27FC236}">
              <a16:creationId xmlns:a16="http://schemas.microsoft.com/office/drawing/2014/main" id="{00000000-0008-0000-0900-00004E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846</xdr:row>
      <xdr:rowOff>0</xdr:rowOff>
    </xdr:from>
    <xdr:ext cx="381000" cy="381000"/>
    <xdr:pic>
      <xdr:nvPicPr>
        <xdr:cNvPr id="847" name="image51.jpg">
          <a:extLst>
            <a:ext uri="{FF2B5EF4-FFF2-40B4-BE49-F238E27FC236}">
              <a16:creationId xmlns:a16="http://schemas.microsoft.com/office/drawing/2014/main" id="{00000000-0008-0000-0900-00004F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847</xdr:row>
      <xdr:rowOff>0</xdr:rowOff>
    </xdr:from>
    <xdr:ext cx="381000" cy="381000"/>
    <xdr:pic>
      <xdr:nvPicPr>
        <xdr:cNvPr id="848" name="image51.jpg">
          <a:extLst>
            <a:ext uri="{FF2B5EF4-FFF2-40B4-BE49-F238E27FC236}">
              <a16:creationId xmlns:a16="http://schemas.microsoft.com/office/drawing/2014/main" id="{00000000-0008-0000-0900-000050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848</xdr:row>
      <xdr:rowOff>0</xdr:rowOff>
    </xdr:from>
    <xdr:ext cx="381000" cy="381000"/>
    <xdr:pic>
      <xdr:nvPicPr>
        <xdr:cNvPr id="849" name="image51.jpg">
          <a:extLst>
            <a:ext uri="{FF2B5EF4-FFF2-40B4-BE49-F238E27FC236}">
              <a16:creationId xmlns:a16="http://schemas.microsoft.com/office/drawing/2014/main" id="{00000000-0008-0000-0900-000051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849</xdr:row>
      <xdr:rowOff>0</xdr:rowOff>
    </xdr:from>
    <xdr:ext cx="381000" cy="381000"/>
    <xdr:pic>
      <xdr:nvPicPr>
        <xdr:cNvPr id="850" name="image51.jpg">
          <a:extLst>
            <a:ext uri="{FF2B5EF4-FFF2-40B4-BE49-F238E27FC236}">
              <a16:creationId xmlns:a16="http://schemas.microsoft.com/office/drawing/2014/main" id="{00000000-0008-0000-0900-000052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850</xdr:row>
      <xdr:rowOff>0</xdr:rowOff>
    </xdr:from>
    <xdr:ext cx="381000" cy="381000"/>
    <xdr:pic>
      <xdr:nvPicPr>
        <xdr:cNvPr id="851" name="image51.jpg">
          <a:extLst>
            <a:ext uri="{FF2B5EF4-FFF2-40B4-BE49-F238E27FC236}">
              <a16:creationId xmlns:a16="http://schemas.microsoft.com/office/drawing/2014/main" id="{00000000-0008-0000-0900-000053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851</xdr:row>
      <xdr:rowOff>0</xdr:rowOff>
    </xdr:from>
    <xdr:ext cx="381000" cy="381000"/>
    <xdr:pic>
      <xdr:nvPicPr>
        <xdr:cNvPr id="852" name="image51.jpg">
          <a:extLst>
            <a:ext uri="{FF2B5EF4-FFF2-40B4-BE49-F238E27FC236}">
              <a16:creationId xmlns:a16="http://schemas.microsoft.com/office/drawing/2014/main" id="{00000000-0008-0000-0900-000054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852</xdr:row>
      <xdr:rowOff>0</xdr:rowOff>
    </xdr:from>
    <xdr:ext cx="381000" cy="381000"/>
    <xdr:pic>
      <xdr:nvPicPr>
        <xdr:cNvPr id="853" name="image51.jpg">
          <a:extLst>
            <a:ext uri="{FF2B5EF4-FFF2-40B4-BE49-F238E27FC236}">
              <a16:creationId xmlns:a16="http://schemas.microsoft.com/office/drawing/2014/main" id="{00000000-0008-0000-0900-000055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853</xdr:row>
      <xdr:rowOff>0</xdr:rowOff>
    </xdr:from>
    <xdr:ext cx="381000" cy="381000"/>
    <xdr:pic>
      <xdr:nvPicPr>
        <xdr:cNvPr id="854" name="image51.jpg">
          <a:extLst>
            <a:ext uri="{FF2B5EF4-FFF2-40B4-BE49-F238E27FC236}">
              <a16:creationId xmlns:a16="http://schemas.microsoft.com/office/drawing/2014/main" id="{00000000-0008-0000-0900-000056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854</xdr:row>
      <xdr:rowOff>0</xdr:rowOff>
    </xdr:from>
    <xdr:ext cx="381000" cy="381000"/>
    <xdr:pic>
      <xdr:nvPicPr>
        <xdr:cNvPr id="855" name="image51.jpg">
          <a:extLst>
            <a:ext uri="{FF2B5EF4-FFF2-40B4-BE49-F238E27FC236}">
              <a16:creationId xmlns:a16="http://schemas.microsoft.com/office/drawing/2014/main" id="{00000000-0008-0000-0900-000057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855</xdr:row>
      <xdr:rowOff>0</xdr:rowOff>
    </xdr:from>
    <xdr:ext cx="381000" cy="381000"/>
    <xdr:pic>
      <xdr:nvPicPr>
        <xdr:cNvPr id="856" name="image51.jpg">
          <a:extLst>
            <a:ext uri="{FF2B5EF4-FFF2-40B4-BE49-F238E27FC236}">
              <a16:creationId xmlns:a16="http://schemas.microsoft.com/office/drawing/2014/main" id="{00000000-0008-0000-0900-000058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856</xdr:row>
      <xdr:rowOff>0</xdr:rowOff>
    </xdr:from>
    <xdr:ext cx="381000" cy="381000"/>
    <xdr:pic>
      <xdr:nvPicPr>
        <xdr:cNvPr id="857" name="image51.jpg">
          <a:extLst>
            <a:ext uri="{FF2B5EF4-FFF2-40B4-BE49-F238E27FC236}">
              <a16:creationId xmlns:a16="http://schemas.microsoft.com/office/drawing/2014/main" id="{00000000-0008-0000-0900-000059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857</xdr:row>
      <xdr:rowOff>0</xdr:rowOff>
    </xdr:from>
    <xdr:ext cx="381000" cy="381000"/>
    <xdr:pic>
      <xdr:nvPicPr>
        <xdr:cNvPr id="858" name="image51.jpg">
          <a:extLst>
            <a:ext uri="{FF2B5EF4-FFF2-40B4-BE49-F238E27FC236}">
              <a16:creationId xmlns:a16="http://schemas.microsoft.com/office/drawing/2014/main" id="{00000000-0008-0000-0900-00005A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858</xdr:row>
      <xdr:rowOff>0</xdr:rowOff>
    </xdr:from>
    <xdr:ext cx="381000" cy="381000"/>
    <xdr:pic>
      <xdr:nvPicPr>
        <xdr:cNvPr id="859" name="image51.jpg">
          <a:extLst>
            <a:ext uri="{FF2B5EF4-FFF2-40B4-BE49-F238E27FC236}">
              <a16:creationId xmlns:a16="http://schemas.microsoft.com/office/drawing/2014/main" id="{00000000-0008-0000-0900-00005B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859</xdr:row>
      <xdr:rowOff>0</xdr:rowOff>
    </xdr:from>
    <xdr:ext cx="381000" cy="381000"/>
    <xdr:pic>
      <xdr:nvPicPr>
        <xdr:cNvPr id="860" name="image51.jpg">
          <a:extLst>
            <a:ext uri="{FF2B5EF4-FFF2-40B4-BE49-F238E27FC236}">
              <a16:creationId xmlns:a16="http://schemas.microsoft.com/office/drawing/2014/main" id="{00000000-0008-0000-0900-00005C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860</xdr:row>
      <xdr:rowOff>0</xdr:rowOff>
    </xdr:from>
    <xdr:ext cx="381000" cy="381000"/>
    <xdr:pic>
      <xdr:nvPicPr>
        <xdr:cNvPr id="861" name="image51.jpg">
          <a:extLst>
            <a:ext uri="{FF2B5EF4-FFF2-40B4-BE49-F238E27FC236}">
              <a16:creationId xmlns:a16="http://schemas.microsoft.com/office/drawing/2014/main" id="{00000000-0008-0000-0900-00005D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861</xdr:row>
      <xdr:rowOff>0</xdr:rowOff>
    </xdr:from>
    <xdr:ext cx="381000" cy="381000"/>
    <xdr:pic>
      <xdr:nvPicPr>
        <xdr:cNvPr id="862" name="image51.jpg">
          <a:extLst>
            <a:ext uri="{FF2B5EF4-FFF2-40B4-BE49-F238E27FC236}">
              <a16:creationId xmlns:a16="http://schemas.microsoft.com/office/drawing/2014/main" id="{00000000-0008-0000-0900-00005E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862</xdr:row>
      <xdr:rowOff>0</xdr:rowOff>
    </xdr:from>
    <xdr:ext cx="381000" cy="381000"/>
    <xdr:pic>
      <xdr:nvPicPr>
        <xdr:cNvPr id="863" name="image51.jpg">
          <a:extLst>
            <a:ext uri="{FF2B5EF4-FFF2-40B4-BE49-F238E27FC236}">
              <a16:creationId xmlns:a16="http://schemas.microsoft.com/office/drawing/2014/main" id="{00000000-0008-0000-0900-00005F03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xdr:col>
      <xdr:colOff>0</xdr:colOff>
      <xdr:row>863</xdr:row>
      <xdr:rowOff>0</xdr:rowOff>
    </xdr:from>
    <xdr:ext cx="381000" cy="381000"/>
    <xdr:pic>
      <xdr:nvPicPr>
        <xdr:cNvPr id="864" name="image153.png">
          <a:extLst>
            <a:ext uri="{FF2B5EF4-FFF2-40B4-BE49-F238E27FC236}">
              <a16:creationId xmlns:a16="http://schemas.microsoft.com/office/drawing/2014/main" id="{00000000-0008-0000-0900-000060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864</xdr:row>
      <xdr:rowOff>0</xdr:rowOff>
    </xdr:from>
    <xdr:ext cx="381000" cy="381000"/>
    <xdr:pic>
      <xdr:nvPicPr>
        <xdr:cNvPr id="865" name="image82.jpg">
          <a:extLst>
            <a:ext uri="{FF2B5EF4-FFF2-40B4-BE49-F238E27FC236}">
              <a16:creationId xmlns:a16="http://schemas.microsoft.com/office/drawing/2014/main" id="{00000000-0008-0000-0900-000061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865</xdr:row>
      <xdr:rowOff>0</xdr:rowOff>
    </xdr:from>
    <xdr:ext cx="381000" cy="381000"/>
    <xdr:pic>
      <xdr:nvPicPr>
        <xdr:cNvPr id="866" name="image82.jpg">
          <a:extLst>
            <a:ext uri="{FF2B5EF4-FFF2-40B4-BE49-F238E27FC236}">
              <a16:creationId xmlns:a16="http://schemas.microsoft.com/office/drawing/2014/main" id="{00000000-0008-0000-0900-000062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866</xdr:row>
      <xdr:rowOff>0</xdr:rowOff>
    </xdr:from>
    <xdr:ext cx="381000" cy="381000"/>
    <xdr:pic>
      <xdr:nvPicPr>
        <xdr:cNvPr id="867" name="image82.jpg">
          <a:extLst>
            <a:ext uri="{FF2B5EF4-FFF2-40B4-BE49-F238E27FC236}">
              <a16:creationId xmlns:a16="http://schemas.microsoft.com/office/drawing/2014/main" id="{00000000-0008-0000-0900-000063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867</xdr:row>
      <xdr:rowOff>0</xdr:rowOff>
    </xdr:from>
    <xdr:ext cx="381000" cy="381000"/>
    <xdr:pic>
      <xdr:nvPicPr>
        <xdr:cNvPr id="868" name="image82.jpg">
          <a:extLst>
            <a:ext uri="{FF2B5EF4-FFF2-40B4-BE49-F238E27FC236}">
              <a16:creationId xmlns:a16="http://schemas.microsoft.com/office/drawing/2014/main" id="{00000000-0008-0000-0900-000064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868</xdr:row>
      <xdr:rowOff>0</xdr:rowOff>
    </xdr:from>
    <xdr:ext cx="381000" cy="381000"/>
    <xdr:pic>
      <xdr:nvPicPr>
        <xdr:cNvPr id="869" name="image82.jpg">
          <a:extLst>
            <a:ext uri="{FF2B5EF4-FFF2-40B4-BE49-F238E27FC236}">
              <a16:creationId xmlns:a16="http://schemas.microsoft.com/office/drawing/2014/main" id="{00000000-0008-0000-0900-000065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869</xdr:row>
      <xdr:rowOff>0</xdr:rowOff>
    </xdr:from>
    <xdr:ext cx="381000" cy="381000"/>
    <xdr:pic>
      <xdr:nvPicPr>
        <xdr:cNvPr id="870" name="image82.jpg">
          <a:extLst>
            <a:ext uri="{FF2B5EF4-FFF2-40B4-BE49-F238E27FC236}">
              <a16:creationId xmlns:a16="http://schemas.microsoft.com/office/drawing/2014/main" id="{00000000-0008-0000-0900-000066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870</xdr:row>
      <xdr:rowOff>0</xdr:rowOff>
    </xdr:from>
    <xdr:ext cx="381000" cy="381000"/>
    <xdr:pic>
      <xdr:nvPicPr>
        <xdr:cNvPr id="871" name="image82.jpg">
          <a:extLst>
            <a:ext uri="{FF2B5EF4-FFF2-40B4-BE49-F238E27FC236}">
              <a16:creationId xmlns:a16="http://schemas.microsoft.com/office/drawing/2014/main" id="{00000000-0008-0000-0900-000067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871</xdr:row>
      <xdr:rowOff>0</xdr:rowOff>
    </xdr:from>
    <xdr:ext cx="381000" cy="381000"/>
    <xdr:pic>
      <xdr:nvPicPr>
        <xdr:cNvPr id="872" name="image82.jpg">
          <a:extLst>
            <a:ext uri="{FF2B5EF4-FFF2-40B4-BE49-F238E27FC236}">
              <a16:creationId xmlns:a16="http://schemas.microsoft.com/office/drawing/2014/main" id="{00000000-0008-0000-0900-000068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872</xdr:row>
      <xdr:rowOff>0</xdr:rowOff>
    </xdr:from>
    <xdr:ext cx="381000" cy="381000"/>
    <xdr:pic>
      <xdr:nvPicPr>
        <xdr:cNvPr id="873" name="image82.jpg">
          <a:extLst>
            <a:ext uri="{FF2B5EF4-FFF2-40B4-BE49-F238E27FC236}">
              <a16:creationId xmlns:a16="http://schemas.microsoft.com/office/drawing/2014/main" id="{00000000-0008-0000-0900-000069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873</xdr:row>
      <xdr:rowOff>0</xdr:rowOff>
    </xdr:from>
    <xdr:ext cx="381000" cy="381000"/>
    <xdr:pic>
      <xdr:nvPicPr>
        <xdr:cNvPr id="874" name="image82.jpg">
          <a:extLst>
            <a:ext uri="{FF2B5EF4-FFF2-40B4-BE49-F238E27FC236}">
              <a16:creationId xmlns:a16="http://schemas.microsoft.com/office/drawing/2014/main" id="{00000000-0008-0000-0900-00006A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874</xdr:row>
      <xdr:rowOff>0</xdr:rowOff>
    </xdr:from>
    <xdr:ext cx="381000" cy="381000"/>
    <xdr:pic>
      <xdr:nvPicPr>
        <xdr:cNvPr id="875" name="image82.jpg">
          <a:extLst>
            <a:ext uri="{FF2B5EF4-FFF2-40B4-BE49-F238E27FC236}">
              <a16:creationId xmlns:a16="http://schemas.microsoft.com/office/drawing/2014/main" id="{00000000-0008-0000-0900-00006B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875</xdr:row>
      <xdr:rowOff>0</xdr:rowOff>
    </xdr:from>
    <xdr:ext cx="381000" cy="381000"/>
    <xdr:pic>
      <xdr:nvPicPr>
        <xdr:cNvPr id="876" name="image82.jpg">
          <a:extLst>
            <a:ext uri="{FF2B5EF4-FFF2-40B4-BE49-F238E27FC236}">
              <a16:creationId xmlns:a16="http://schemas.microsoft.com/office/drawing/2014/main" id="{00000000-0008-0000-0900-00006C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876</xdr:row>
      <xdr:rowOff>0</xdr:rowOff>
    </xdr:from>
    <xdr:ext cx="381000" cy="381000"/>
    <xdr:pic>
      <xdr:nvPicPr>
        <xdr:cNvPr id="877" name="image82.jpg">
          <a:extLst>
            <a:ext uri="{FF2B5EF4-FFF2-40B4-BE49-F238E27FC236}">
              <a16:creationId xmlns:a16="http://schemas.microsoft.com/office/drawing/2014/main" id="{00000000-0008-0000-0900-00006D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877</xdr:row>
      <xdr:rowOff>0</xdr:rowOff>
    </xdr:from>
    <xdr:ext cx="381000" cy="381000"/>
    <xdr:pic>
      <xdr:nvPicPr>
        <xdr:cNvPr id="878" name="image82.jpg">
          <a:extLst>
            <a:ext uri="{FF2B5EF4-FFF2-40B4-BE49-F238E27FC236}">
              <a16:creationId xmlns:a16="http://schemas.microsoft.com/office/drawing/2014/main" id="{00000000-0008-0000-0900-00006E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878</xdr:row>
      <xdr:rowOff>0</xdr:rowOff>
    </xdr:from>
    <xdr:ext cx="381000" cy="381000"/>
    <xdr:pic>
      <xdr:nvPicPr>
        <xdr:cNvPr id="879" name="image82.jpg">
          <a:extLst>
            <a:ext uri="{FF2B5EF4-FFF2-40B4-BE49-F238E27FC236}">
              <a16:creationId xmlns:a16="http://schemas.microsoft.com/office/drawing/2014/main" id="{00000000-0008-0000-0900-00006F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879</xdr:row>
      <xdr:rowOff>0</xdr:rowOff>
    </xdr:from>
    <xdr:ext cx="381000" cy="381000"/>
    <xdr:pic>
      <xdr:nvPicPr>
        <xdr:cNvPr id="880" name="image82.jpg">
          <a:extLst>
            <a:ext uri="{FF2B5EF4-FFF2-40B4-BE49-F238E27FC236}">
              <a16:creationId xmlns:a16="http://schemas.microsoft.com/office/drawing/2014/main" id="{00000000-0008-0000-0900-00007003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xdr:col>
      <xdr:colOff>0</xdr:colOff>
      <xdr:row>880</xdr:row>
      <xdr:rowOff>0</xdr:rowOff>
    </xdr:from>
    <xdr:ext cx="381000" cy="381000"/>
    <xdr:pic>
      <xdr:nvPicPr>
        <xdr:cNvPr id="881" name="image153.png">
          <a:extLst>
            <a:ext uri="{FF2B5EF4-FFF2-40B4-BE49-F238E27FC236}">
              <a16:creationId xmlns:a16="http://schemas.microsoft.com/office/drawing/2014/main" id="{00000000-0008-0000-0900-000071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881</xdr:row>
      <xdr:rowOff>0</xdr:rowOff>
    </xdr:from>
    <xdr:ext cx="381000" cy="381000"/>
    <xdr:pic>
      <xdr:nvPicPr>
        <xdr:cNvPr id="882" name="image14.jpg">
          <a:extLst>
            <a:ext uri="{FF2B5EF4-FFF2-40B4-BE49-F238E27FC236}">
              <a16:creationId xmlns:a16="http://schemas.microsoft.com/office/drawing/2014/main" id="{00000000-0008-0000-0900-00007203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xdr:col>
      <xdr:colOff>0</xdr:colOff>
      <xdr:row>882</xdr:row>
      <xdr:rowOff>0</xdr:rowOff>
    </xdr:from>
    <xdr:ext cx="381000" cy="381000"/>
    <xdr:pic>
      <xdr:nvPicPr>
        <xdr:cNvPr id="883" name="image86.jpg">
          <a:extLst>
            <a:ext uri="{FF2B5EF4-FFF2-40B4-BE49-F238E27FC236}">
              <a16:creationId xmlns:a16="http://schemas.microsoft.com/office/drawing/2014/main" id="{00000000-0008-0000-0900-000073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883</xdr:row>
      <xdr:rowOff>0</xdr:rowOff>
    </xdr:from>
    <xdr:ext cx="381000" cy="381000"/>
    <xdr:pic>
      <xdr:nvPicPr>
        <xdr:cNvPr id="884" name="image86.jpg">
          <a:extLst>
            <a:ext uri="{FF2B5EF4-FFF2-40B4-BE49-F238E27FC236}">
              <a16:creationId xmlns:a16="http://schemas.microsoft.com/office/drawing/2014/main" id="{00000000-0008-0000-0900-000074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884</xdr:row>
      <xdr:rowOff>0</xdr:rowOff>
    </xdr:from>
    <xdr:ext cx="381000" cy="381000"/>
    <xdr:pic>
      <xdr:nvPicPr>
        <xdr:cNvPr id="885" name="image86.jpg">
          <a:extLst>
            <a:ext uri="{FF2B5EF4-FFF2-40B4-BE49-F238E27FC236}">
              <a16:creationId xmlns:a16="http://schemas.microsoft.com/office/drawing/2014/main" id="{00000000-0008-0000-0900-000075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885</xdr:row>
      <xdr:rowOff>0</xdr:rowOff>
    </xdr:from>
    <xdr:ext cx="381000" cy="381000"/>
    <xdr:pic>
      <xdr:nvPicPr>
        <xdr:cNvPr id="886" name="image86.jpg">
          <a:extLst>
            <a:ext uri="{FF2B5EF4-FFF2-40B4-BE49-F238E27FC236}">
              <a16:creationId xmlns:a16="http://schemas.microsoft.com/office/drawing/2014/main" id="{00000000-0008-0000-0900-000076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886</xdr:row>
      <xdr:rowOff>0</xdr:rowOff>
    </xdr:from>
    <xdr:ext cx="381000" cy="381000"/>
    <xdr:pic>
      <xdr:nvPicPr>
        <xdr:cNvPr id="887" name="image86.jpg">
          <a:extLst>
            <a:ext uri="{FF2B5EF4-FFF2-40B4-BE49-F238E27FC236}">
              <a16:creationId xmlns:a16="http://schemas.microsoft.com/office/drawing/2014/main" id="{00000000-0008-0000-0900-000077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887</xdr:row>
      <xdr:rowOff>0</xdr:rowOff>
    </xdr:from>
    <xdr:ext cx="381000" cy="381000"/>
    <xdr:pic>
      <xdr:nvPicPr>
        <xdr:cNvPr id="888" name="image86.jpg">
          <a:extLst>
            <a:ext uri="{FF2B5EF4-FFF2-40B4-BE49-F238E27FC236}">
              <a16:creationId xmlns:a16="http://schemas.microsoft.com/office/drawing/2014/main" id="{00000000-0008-0000-0900-000078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888</xdr:row>
      <xdr:rowOff>0</xdr:rowOff>
    </xdr:from>
    <xdr:ext cx="381000" cy="381000"/>
    <xdr:pic>
      <xdr:nvPicPr>
        <xdr:cNvPr id="889" name="image86.jpg">
          <a:extLst>
            <a:ext uri="{FF2B5EF4-FFF2-40B4-BE49-F238E27FC236}">
              <a16:creationId xmlns:a16="http://schemas.microsoft.com/office/drawing/2014/main" id="{00000000-0008-0000-0900-000079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889</xdr:row>
      <xdr:rowOff>0</xdr:rowOff>
    </xdr:from>
    <xdr:ext cx="381000" cy="381000"/>
    <xdr:pic>
      <xdr:nvPicPr>
        <xdr:cNvPr id="890" name="image86.jpg">
          <a:extLst>
            <a:ext uri="{FF2B5EF4-FFF2-40B4-BE49-F238E27FC236}">
              <a16:creationId xmlns:a16="http://schemas.microsoft.com/office/drawing/2014/main" id="{00000000-0008-0000-0900-00007A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890</xdr:row>
      <xdr:rowOff>0</xdr:rowOff>
    </xdr:from>
    <xdr:ext cx="381000" cy="381000"/>
    <xdr:pic>
      <xdr:nvPicPr>
        <xdr:cNvPr id="891" name="image86.jpg">
          <a:extLst>
            <a:ext uri="{FF2B5EF4-FFF2-40B4-BE49-F238E27FC236}">
              <a16:creationId xmlns:a16="http://schemas.microsoft.com/office/drawing/2014/main" id="{00000000-0008-0000-0900-00007B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891</xdr:row>
      <xdr:rowOff>0</xdr:rowOff>
    </xdr:from>
    <xdr:ext cx="381000" cy="381000"/>
    <xdr:pic>
      <xdr:nvPicPr>
        <xdr:cNvPr id="892" name="image86.jpg">
          <a:extLst>
            <a:ext uri="{FF2B5EF4-FFF2-40B4-BE49-F238E27FC236}">
              <a16:creationId xmlns:a16="http://schemas.microsoft.com/office/drawing/2014/main" id="{00000000-0008-0000-0900-00007C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892</xdr:row>
      <xdr:rowOff>0</xdr:rowOff>
    </xdr:from>
    <xdr:ext cx="381000" cy="381000"/>
    <xdr:pic>
      <xdr:nvPicPr>
        <xdr:cNvPr id="893" name="image86.jpg">
          <a:extLst>
            <a:ext uri="{FF2B5EF4-FFF2-40B4-BE49-F238E27FC236}">
              <a16:creationId xmlns:a16="http://schemas.microsoft.com/office/drawing/2014/main" id="{00000000-0008-0000-0900-00007D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893</xdr:row>
      <xdr:rowOff>0</xdr:rowOff>
    </xdr:from>
    <xdr:ext cx="381000" cy="381000"/>
    <xdr:pic>
      <xdr:nvPicPr>
        <xdr:cNvPr id="894" name="image86.jpg">
          <a:extLst>
            <a:ext uri="{FF2B5EF4-FFF2-40B4-BE49-F238E27FC236}">
              <a16:creationId xmlns:a16="http://schemas.microsoft.com/office/drawing/2014/main" id="{00000000-0008-0000-0900-00007E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894</xdr:row>
      <xdr:rowOff>0</xdr:rowOff>
    </xdr:from>
    <xdr:ext cx="381000" cy="381000"/>
    <xdr:pic>
      <xdr:nvPicPr>
        <xdr:cNvPr id="895" name="image86.jpg">
          <a:extLst>
            <a:ext uri="{FF2B5EF4-FFF2-40B4-BE49-F238E27FC236}">
              <a16:creationId xmlns:a16="http://schemas.microsoft.com/office/drawing/2014/main" id="{00000000-0008-0000-0900-00007F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895</xdr:row>
      <xdr:rowOff>0</xdr:rowOff>
    </xdr:from>
    <xdr:ext cx="381000" cy="381000"/>
    <xdr:pic>
      <xdr:nvPicPr>
        <xdr:cNvPr id="896" name="image86.jpg">
          <a:extLst>
            <a:ext uri="{FF2B5EF4-FFF2-40B4-BE49-F238E27FC236}">
              <a16:creationId xmlns:a16="http://schemas.microsoft.com/office/drawing/2014/main" id="{00000000-0008-0000-0900-000080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896</xdr:row>
      <xdr:rowOff>0</xdr:rowOff>
    </xdr:from>
    <xdr:ext cx="381000" cy="381000"/>
    <xdr:pic>
      <xdr:nvPicPr>
        <xdr:cNvPr id="897" name="image86.jpg">
          <a:extLst>
            <a:ext uri="{FF2B5EF4-FFF2-40B4-BE49-F238E27FC236}">
              <a16:creationId xmlns:a16="http://schemas.microsoft.com/office/drawing/2014/main" id="{00000000-0008-0000-0900-000081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897</xdr:row>
      <xdr:rowOff>0</xdr:rowOff>
    </xdr:from>
    <xdr:ext cx="381000" cy="381000"/>
    <xdr:pic>
      <xdr:nvPicPr>
        <xdr:cNvPr id="898" name="image86.jpg">
          <a:extLst>
            <a:ext uri="{FF2B5EF4-FFF2-40B4-BE49-F238E27FC236}">
              <a16:creationId xmlns:a16="http://schemas.microsoft.com/office/drawing/2014/main" id="{00000000-0008-0000-0900-000082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898</xdr:row>
      <xdr:rowOff>0</xdr:rowOff>
    </xdr:from>
    <xdr:ext cx="381000" cy="381000"/>
    <xdr:pic>
      <xdr:nvPicPr>
        <xdr:cNvPr id="899" name="image86.jpg">
          <a:extLst>
            <a:ext uri="{FF2B5EF4-FFF2-40B4-BE49-F238E27FC236}">
              <a16:creationId xmlns:a16="http://schemas.microsoft.com/office/drawing/2014/main" id="{00000000-0008-0000-0900-000083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899</xdr:row>
      <xdr:rowOff>0</xdr:rowOff>
    </xdr:from>
    <xdr:ext cx="381000" cy="381000"/>
    <xdr:pic>
      <xdr:nvPicPr>
        <xdr:cNvPr id="900" name="image86.jpg">
          <a:extLst>
            <a:ext uri="{FF2B5EF4-FFF2-40B4-BE49-F238E27FC236}">
              <a16:creationId xmlns:a16="http://schemas.microsoft.com/office/drawing/2014/main" id="{00000000-0008-0000-0900-000084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900</xdr:row>
      <xdr:rowOff>0</xdr:rowOff>
    </xdr:from>
    <xdr:ext cx="381000" cy="381000"/>
    <xdr:pic>
      <xdr:nvPicPr>
        <xdr:cNvPr id="901" name="image86.jpg">
          <a:extLst>
            <a:ext uri="{FF2B5EF4-FFF2-40B4-BE49-F238E27FC236}">
              <a16:creationId xmlns:a16="http://schemas.microsoft.com/office/drawing/2014/main" id="{00000000-0008-0000-0900-000085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901</xdr:row>
      <xdr:rowOff>0</xdr:rowOff>
    </xdr:from>
    <xdr:ext cx="381000" cy="381000"/>
    <xdr:pic>
      <xdr:nvPicPr>
        <xdr:cNvPr id="902" name="image86.jpg">
          <a:extLst>
            <a:ext uri="{FF2B5EF4-FFF2-40B4-BE49-F238E27FC236}">
              <a16:creationId xmlns:a16="http://schemas.microsoft.com/office/drawing/2014/main" id="{00000000-0008-0000-0900-000086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902</xdr:row>
      <xdr:rowOff>0</xdr:rowOff>
    </xdr:from>
    <xdr:ext cx="381000" cy="381000"/>
    <xdr:pic>
      <xdr:nvPicPr>
        <xdr:cNvPr id="903" name="image86.jpg">
          <a:extLst>
            <a:ext uri="{FF2B5EF4-FFF2-40B4-BE49-F238E27FC236}">
              <a16:creationId xmlns:a16="http://schemas.microsoft.com/office/drawing/2014/main" id="{00000000-0008-0000-0900-000087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903</xdr:row>
      <xdr:rowOff>0</xdr:rowOff>
    </xdr:from>
    <xdr:ext cx="381000" cy="381000"/>
    <xdr:pic>
      <xdr:nvPicPr>
        <xdr:cNvPr id="904" name="image86.jpg">
          <a:extLst>
            <a:ext uri="{FF2B5EF4-FFF2-40B4-BE49-F238E27FC236}">
              <a16:creationId xmlns:a16="http://schemas.microsoft.com/office/drawing/2014/main" id="{00000000-0008-0000-0900-000088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904</xdr:row>
      <xdr:rowOff>0</xdr:rowOff>
    </xdr:from>
    <xdr:ext cx="381000" cy="381000"/>
    <xdr:pic>
      <xdr:nvPicPr>
        <xdr:cNvPr id="905" name="image86.jpg">
          <a:extLst>
            <a:ext uri="{FF2B5EF4-FFF2-40B4-BE49-F238E27FC236}">
              <a16:creationId xmlns:a16="http://schemas.microsoft.com/office/drawing/2014/main" id="{00000000-0008-0000-0900-000089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905</xdr:row>
      <xdr:rowOff>0</xdr:rowOff>
    </xdr:from>
    <xdr:ext cx="381000" cy="381000"/>
    <xdr:pic>
      <xdr:nvPicPr>
        <xdr:cNvPr id="906" name="image86.jpg">
          <a:extLst>
            <a:ext uri="{FF2B5EF4-FFF2-40B4-BE49-F238E27FC236}">
              <a16:creationId xmlns:a16="http://schemas.microsoft.com/office/drawing/2014/main" id="{00000000-0008-0000-0900-00008A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906</xdr:row>
      <xdr:rowOff>0</xdr:rowOff>
    </xdr:from>
    <xdr:ext cx="381000" cy="381000"/>
    <xdr:pic>
      <xdr:nvPicPr>
        <xdr:cNvPr id="907" name="image86.jpg">
          <a:extLst>
            <a:ext uri="{FF2B5EF4-FFF2-40B4-BE49-F238E27FC236}">
              <a16:creationId xmlns:a16="http://schemas.microsoft.com/office/drawing/2014/main" id="{00000000-0008-0000-0900-00008B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907</xdr:row>
      <xdr:rowOff>0</xdr:rowOff>
    </xdr:from>
    <xdr:ext cx="381000" cy="381000"/>
    <xdr:pic>
      <xdr:nvPicPr>
        <xdr:cNvPr id="908" name="image86.jpg">
          <a:extLst>
            <a:ext uri="{FF2B5EF4-FFF2-40B4-BE49-F238E27FC236}">
              <a16:creationId xmlns:a16="http://schemas.microsoft.com/office/drawing/2014/main" id="{00000000-0008-0000-0900-00008C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908</xdr:row>
      <xdr:rowOff>0</xdr:rowOff>
    </xdr:from>
    <xdr:ext cx="381000" cy="381000"/>
    <xdr:pic>
      <xdr:nvPicPr>
        <xdr:cNvPr id="909" name="image86.jpg">
          <a:extLst>
            <a:ext uri="{FF2B5EF4-FFF2-40B4-BE49-F238E27FC236}">
              <a16:creationId xmlns:a16="http://schemas.microsoft.com/office/drawing/2014/main" id="{00000000-0008-0000-0900-00008D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909</xdr:row>
      <xdr:rowOff>0</xdr:rowOff>
    </xdr:from>
    <xdr:ext cx="381000" cy="381000"/>
    <xdr:pic>
      <xdr:nvPicPr>
        <xdr:cNvPr id="910" name="image86.jpg">
          <a:extLst>
            <a:ext uri="{FF2B5EF4-FFF2-40B4-BE49-F238E27FC236}">
              <a16:creationId xmlns:a16="http://schemas.microsoft.com/office/drawing/2014/main" id="{00000000-0008-0000-0900-00008E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910</xdr:row>
      <xdr:rowOff>0</xdr:rowOff>
    </xdr:from>
    <xdr:ext cx="381000" cy="381000"/>
    <xdr:pic>
      <xdr:nvPicPr>
        <xdr:cNvPr id="911" name="image86.jpg">
          <a:extLst>
            <a:ext uri="{FF2B5EF4-FFF2-40B4-BE49-F238E27FC236}">
              <a16:creationId xmlns:a16="http://schemas.microsoft.com/office/drawing/2014/main" id="{00000000-0008-0000-0900-00008F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911</xdr:row>
      <xdr:rowOff>0</xdr:rowOff>
    </xdr:from>
    <xdr:ext cx="381000" cy="381000"/>
    <xdr:pic>
      <xdr:nvPicPr>
        <xdr:cNvPr id="912" name="image86.jpg">
          <a:extLst>
            <a:ext uri="{FF2B5EF4-FFF2-40B4-BE49-F238E27FC236}">
              <a16:creationId xmlns:a16="http://schemas.microsoft.com/office/drawing/2014/main" id="{00000000-0008-0000-0900-000090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912</xdr:row>
      <xdr:rowOff>0</xdr:rowOff>
    </xdr:from>
    <xdr:ext cx="381000" cy="381000"/>
    <xdr:pic>
      <xdr:nvPicPr>
        <xdr:cNvPr id="913" name="image86.jpg">
          <a:extLst>
            <a:ext uri="{FF2B5EF4-FFF2-40B4-BE49-F238E27FC236}">
              <a16:creationId xmlns:a16="http://schemas.microsoft.com/office/drawing/2014/main" id="{00000000-0008-0000-0900-000091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913</xdr:row>
      <xdr:rowOff>0</xdr:rowOff>
    </xdr:from>
    <xdr:ext cx="381000" cy="381000"/>
    <xdr:pic>
      <xdr:nvPicPr>
        <xdr:cNvPr id="914" name="image86.jpg">
          <a:extLst>
            <a:ext uri="{FF2B5EF4-FFF2-40B4-BE49-F238E27FC236}">
              <a16:creationId xmlns:a16="http://schemas.microsoft.com/office/drawing/2014/main" id="{00000000-0008-0000-0900-000092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914</xdr:row>
      <xdr:rowOff>0</xdr:rowOff>
    </xdr:from>
    <xdr:ext cx="381000" cy="381000"/>
    <xdr:pic>
      <xdr:nvPicPr>
        <xdr:cNvPr id="915" name="image86.jpg">
          <a:extLst>
            <a:ext uri="{FF2B5EF4-FFF2-40B4-BE49-F238E27FC236}">
              <a16:creationId xmlns:a16="http://schemas.microsoft.com/office/drawing/2014/main" id="{00000000-0008-0000-0900-000093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915</xdr:row>
      <xdr:rowOff>0</xdr:rowOff>
    </xdr:from>
    <xdr:ext cx="381000" cy="381000"/>
    <xdr:pic>
      <xdr:nvPicPr>
        <xdr:cNvPr id="916" name="image86.jpg">
          <a:extLst>
            <a:ext uri="{FF2B5EF4-FFF2-40B4-BE49-F238E27FC236}">
              <a16:creationId xmlns:a16="http://schemas.microsoft.com/office/drawing/2014/main" id="{00000000-0008-0000-0900-00009403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xdr:col>
      <xdr:colOff>0</xdr:colOff>
      <xdr:row>916</xdr:row>
      <xdr:rowOff>0</xdr:rowOff>
    </xdr:from>
    <xdr:ext cx="381000" cy="381000"/>
    <xdr:pic>
      <xdr:nvPicPr>
        <xdr:cNvPr id="917" name="image153.png">
          <a:extLst>
            <a:ext uri="{FF2B5EF4-FFF2-40B4-BE49-F238E27FC236}">
              <a16:creationId xmlns:a16="http://schemas.microsoft.com/office/drawing/2014/main" id="{00000000-0008-0000-0900-000095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917</xdr:row>
      <xdr:rowOff>0</xdr:rowOff>
    </xdr:from>
    <xdr:ext cx="381000" cy="381000"/>
    <xdr:pic>
      <xdr:nvPicPr>
        <xdr:cNvPr id="918" name="image1.jpg">
          <a:extLst>
            <a:ext uri="{FF2B5EF4-FFF2-40B4-BE49-F238E27FC236}">
              <a16:creationId xmlns:a16="http://schemas.microsoft.com/office/drawing/2014/main" id="{00000000-0008-0000-0900-00009603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918</xdr:row>
      <xdr:rowOff>0</xdr:rowOff>
    </xdr:from>
    <xdr:ext cx="381000" cy="381000"/>
    <xdr:pic>
      <xdr:nvPicPr>
        <xdr:cNvPr id="919" name="image1.jpg">
          <a:extLst>
            <a:ext uri="{FF2B5EF4-FFF2-40B4-BE49-F238E27FC236}">
              <a16:creationId xmlns:a16="http://schemas.microsoft.com/office/drawing/2014/main" id="{00000000-0008-0000-0900-00009703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919</xdr:row>
      <xdr:rowOff>0</xdr:rowOff>
    </xdr:from>
    <xdr:ext cx="381000" cy="381000"/>
    <xdr:pic>
      <xdr:nvPicPr>
        <xdr:cNvPr id="920" name="image1.jpg">
          <a:extLst>
            <a:ext uri="{FF2B5EF4-FFF2-40B4-BE49-F238E27FC236}">
              <a16:creationId xmlns:a16="http://schemas.microsoft.com/office/drawing/2014/main" id="{00000000-0008-0000-0900-00009803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920</xdr:row>
      <xdr:rowOff>0</xdr:rowOff>
    </xdr:from>
    <xdr:ext cx="381000" cy="381000"/>
    <xdr:pic>
      <xdr:nvPicPr>
        <xdr:cNvPr id="921" name="image1.jpg">
          <a:extLst>
            <a:ext uri="{FF2B5EF4-FFF2-40B4-BE49-F238E27FC236}">
              <a16:creationId xmlns:a16="http://schemas.microsoft.com/office/drawing/2014/main" id="{00000000-0008-0000-0900-00009903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xdr:col>
      <xdr:colOff>0</xdr:colOff>
      <xdr:row>921</xdr:row>
      <xdr:rowOff>0</xdr:rowOff>
    </xdr:from>
    <xdr:ext cx="381000" cy="381000"/>
    <xdr:pic>
      <xdr:nvPicPr>
        <xdr:cNvPr id="922" name="image153.png">
          <a:extLst>
            <a:ext uri="{FF2B5EF4-FFF2-40B4-BE49-F238E27FC236}">
              <a16:creationId xmlns:a16="http://schemas.microsoft.com/office/drawing/2014/main" id="{00000000-0008-0000-0900-00009A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922</xdr:row>
      <xdr:rowOff>0</xdr:rowOff>
    </xdr:from>
    <xdr:ext cx="381000" cy="381000"/>
    <xdr:pic>
      <xdr:nvPicPr>
        <xdr:cNvPr id="923" name="image89.jpg">
          <a:extLst>
            <a:ext uri="{FF2B5EF4-FFF2-40B4-BE49-F238E27FC236}">
              <a16:creationId xmlns:a16="http://schemas.microsoft.com/office/drawing/2014/main" id="{00000000-0008-0000-0900-00009B03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xdr:col>
      <xdr:colOff>0</xdr:colOff>
      <xdr:row>923</xdr:row>
      <xdr:rowOff>0</xdr:rowOff>
    </xdr:from>
    <xdr:ext cx="381000" cy="381000"/>
    <xdr:pic>
      <xdr:nvPicPr>
        <xdr:cNvPr id="924" name="image89.jpg">
          <a:extLst>
            <a:ext uri="{FF2B5EF4-FFF2-40B4-BE49-F238E27FC236}">
              <a16:creationId xmlns:a16="http://schemas.microsoft.com/office/drawing/2014/main" id="{00000000-0008-0000-0900-00009C03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xdr:col>
      <xdr:colOff>0</xdr:colOff>
      <xdr:row>924</xdr:row>
      <xdr:rowOff>0</xdr:rowOff>
    </xdr:from>
    <xdr:ext cx="381000" cy="381000"/>
    <xdr:pic>
      <xdr:nvPicPr>
        <xdr:cNvPr id="925" name="image89.jpg">
          <a:extLst>
            <a:ext uri="{FF2B5EF4-FFF2-40B4-BE49-F238E27FC236}">
              <a16:creationId xmlns:a16="http://schemas.microsoft.com/office/drawing/2014/main" id="{00000000-0008-0000-0900-00009D03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xdr:col>
      <xdr:colOff>0</xdr:colOff>
      <xdr:row>925</xdr:row>
      <xdr:rowOff>0</xdr:rowOff>
    </xdr:from>
    <xdr:ext cx="381000" cy="381000"/>
    <xdr:pic>
      <xdr:nvPicPr>
        <xdr:cNvPr id="926" name="image153.png">
          <a:extLst>
            <a:ext uri="{FF2B5EF4-FFF2-40B4-BE49-F238E27FC236}">
              <a16:creationId xmlns:a16="http://schemas.microsoft.com/office/drawing/2014/main" id="{00000000-0008-0000-0900-00009E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926</xdr:row>
      <xdr:rowOff>0</xdr:rowOff>
    </xdr:from>
    <xdr:ext cx="381000" cy="381000"/>
    <xdr:pic>
      <xdr:nvPicPr>
        <xdr:cNvPr id="927" name="image92.jpg">
          <a:extLst>
            <a:ext uri="{FF2B5EF4-FFF2-40B4-BE49-F238E27FC236}">
              <a16:creationId xmlns:a16="http://schemas.microsoft.com/office/drawing/2014/main" id="{00000000-0008-0000-0900-00009F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927</xdr:row>
      <xdr:rowOff>0</xdr:rowOff>
    </xdr:from>
    <xdr:ext cx="381000" cy="381000"/>
    <xdr:pic>
      <xdr:nvPicPr>
        <xdr:cNvPr id="928" name="image92.jpg">
          <a:extLst>
            <a:ext uri="{FF2B5EF4-FFF2-40B4-BE49-F238E27FC236}">
              <a16:creationId xmlns:a16="http://schemas.microsoft.com/office/drawing/2014/main" id="{00000000-0008-0000-0900-0000A0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928</xdr:row>
      <xdr:rowOff>0</xdr:rowOff>
    </xdr:from>
    <xdr:ext cx="381000" cy="381000"/>
    <xdr:pic>
      <xdr:nvPicPr>
        <xdr:cNvPr id="929" name="image92.jpg">
          <a:extLst>
            <a:ext uri="{FF2B5EF4-FFF2-40B4-BE49-F238E27FC236}">
              <a16:creationId xmlns:a16="http://schemas.microsoft.com/office/drawing/2014/main" id="{00000000-0008-0000-0900-0000A1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929</xdr:row>
      <xdr:rowOff>0</xdr:rowOff>
    </xdr:from>
    <xdr:ext cx="381000" cy="381000"/>
    <xdr:pic>
      <xdr:nvPicPr>
        <xdr:cNvPr id="930" name="image92.jpg">
          <a:extLst>
            <a:ext uri="{FF2B5EF4-FFF2-40B4-BE49-F238E27FC236}">
              <a16:creationId xmlns:a16="http://schemas.microsoft.com/office/drawing/2014/main" id="{00000000-0008-0000-0900-0000A2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930</xdr:row>
      <xdr:rowOff>0</xdr:rowOff>
    </xdr:from>
    <xdr:ext cx="381000" cy="381000"/>
    <xdr:pic>
      <xdr:nvPicPr>
        <xdr:cNvPr id="931" name="image92.jpg">
          <a:extLst>
            <a:ext uri="{FF2B5EF4-FFF2-40B4-BE49-F238E27FC236}">
              <a16:creationId xmlns:a16="http://schemas.microsoft.com/office/drawing/2014/main" id="{00000000-0008-0000-0900-0000A3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931</xdr:row>
      <xdr:rowOff>0</xdr:rowOff>
    </xdr:from>
    <xdr:ext cx="381000" cy="381000"/>
    <xdr:pic>
      <xdr:nvPicPr>
        <xdr:cNvPr id="932" name="image92.jpg">
          <a:extLst>
            <a:ext uri="{FF2B5EF4-FFF2-40B4-BE49-F238E27FC236}">
              <a16:creationId xmlns:a16="http://schemas.microsoft.com/office/drawing/2014/main" id="{00000000-0008-0000-0900-0000A4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932</xdr:row>
      <xdr:rowOff>0</xdr:rowOff>
    </xdr:from>
    <xdr:ext cx="381000" cy="381000"/>
    <xdr:pic>
      <xdr:nvPicPr>
        <xdr:cNvPr id="933" name="image92.jpg">
          <a:extLst>
            <a:ext uri="{FF2B5EF4-FFF2-40B4-BE49-F238E27FC236}">
              <a16:creationId xmlns:a16="http://schemas.microsoft.com/office/drawing/2014/main" id="{00000000-0008-0000-0900-0000A5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933</xdr:row>
      <xdr:rowOff>0</xdr:rowOff>
    </xdr:from>
    <xdr:ext cx="381000" cy="381000"/>
    <xdr:pic>
      <xdr:nvPicPr>
        <xdr:cNvPr id="934" name="image92.jpg">
          <a:extLst>
            <a:ext uri="{FF2B5EF4-FFF2-40B4-BE49-F238E27FC236}">
              <a16:creationId xmlns:a16="http://schemas.microsoft.com/office/drawing/2014/main" id="{00000000-0008-0000-0900-0000A6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934</xdr:row>
      <xdr:rowOff>0</xdr:rowOff>
    </xdr:from>
    <xdr:ext cx="381000" cy="381000"/>
    <xdr:pic>
      <xdr:nvPicPr>
        <xdr:cNvPr id="935" name="image92.jpg">
          <a:extLst>
            <a:ext uri="{FF2B5EF4-FFF2-40B4-BE49-F238E27FC236}">
              <a16:creationId xmlns:a16="http://schemas.microsoft.com/office/drawing/2014/main" id="{00000000-0008-0000-0900-0000A7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935</xdr:row>
      <xdr:rowOff>0</xdr:rowOff>
    </xdr:from>
    <xdr:ext cx="381000" cy="381000"/>
    <xdr:pic>
      <xdr:nvPicPr>
        <xdr:cNvPr id="936" name="image92.jpg">
          <a:extLst>
            <a:ext uri="{FF2B5EF4-FFF2-40B4-BE49-F238E27FC236}">
              <a16:creationId xmlns:a16="http://schemas.microsoft.com/office/drawing/2014/main" id="{00000000-0008-0000-0900-0000A803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xdr:col>
      <xdr:colOff>0</xdr:colOff>
      <xdr:row>936</xdr:row>
      <xdr:rowOff>0</xdr:rowOff>
    </xdr:from>
    <xdr:ext cx="381000" cy="381000"/>
    <xdr:pic>
      <xdr:nvPicPr>
        <xdr:cNvPr id="937" name="image153.png">
          <a:extLst>
            <a:ext uri="{FF2B5EF4-FFF2-40B4-BE49-F238E27FC236}">
              <a16:creationId xmlns:a16="http://schemas.microsoft.com/office/drawing/2014/main" id="{00000000-0008-0000-0900-0000A9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937</xdr:row>
      <xdr:rowOff>0</xdr:rowOff>
    </xdr:from>
    <xdr:ext cx="381000" cy="381000"/>
    <xdr:pic>
      <xdr:nvPicPr>
        <xdr:cNvPr id="938" name="image107.jpg">
          <a:extLst>
            <a:ext uri="{FF2B5EF4-FFF2-40B4-BE49-F238E27FC236}">
              <a16:creationId xmlns:a16="http://schemas.microsoft.com/office/drawing/2014/main" id="{00000000-0008-0000-0900-0000AA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938</xdr:row>
      <xdr:rowOff>0</xdr:rowOff>
    </xdr:from>
    <xdr:ext cx="381000" cy="381000"/>
    <xdr:pic>
      <xdr:nvPicPr>
        <xdr:cNvPr id="939" name="image107.jpg">
          <a:extLst>
            <a:ext uri="{FF2B5EF4-FFF2-40B4-BE49-F238E27FC236}">
              <a16:creationId xmlns:a16="http://schemas.microsoft.com/office/drawing/2014/main" id="{00000000-0008-0000-0900-0000AB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939</xdr:row>
      <xdr:rowOff>0</xdr:rowOff>
    </xdr:from>
    <xdr:ext cx="381000" cy="381000"/>
    <xdr:pic>
      <xdr:nvPicPr>
        <xdr:cNvPr id="940" name="image107.jpg">
          <a:extLst>
            <a:ext uri="{FF2B5EF4-FFF2-40B4-BE49-F238E27FC236}">
              <a16:creationId xmlns:a16="http://schemas.microsoft.com/office/drawing/2014/main" id="{00000000-0008-0000-0900-0000AC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940</xdr:row>
      <xdr:rowOff>0</xdr:rowOff>
    </xdr:from>
    <xdr:ext cx="381000" cy="381000"/>
    <xdr:pic>
      <xdr:nvPicPr>
        <xdr:cNvPr id="941" name="image107.jpg">
          <a:extLst>
            <a:ext uri="{FF2B5EF4-FFF2-40B4-BE49-F238E27FC236}">
              <a16:creationId xmlns:a16="http://schemas.microsoft.com/office/drawing/2014/main" id="{00000000-0008-0000-0900-0000AD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941</xdr:row>
      <xdr:rowOff>0</xdr:rowOff>
    </xdr:from>
    <xdr:ext cx="381000" cy="381000"/>
    <xdr:pic>
      <xdr:nvPicPr>
        <xdr:cNvPr id="942" name="image107.jpg">
          <a:extLst>
            <a:ext uri="{FF2B5EF4-FFF2-40B4-BE49-F238E27FC236}">
              <a16:creationId xmlns:a16="http://schemas.microsoft.com/office/drawing/2014/main" id="{00000000-0008-0000-0900-0000AE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942</xdr:row>
      <xdr:rowOff>0</xdr:rowOff>
    </xdr:from>
    <xdr:ext cx="381000" cy="381000"/>
    <xdr:pic>
      <xdr:nvPicPr>
        <xdr:cNvPr id="943" name="image107.jpg">
          <a:extLst>
            <a:ext uri="{FF2B5EF4-FFF2-40B4-BE49-F238E27FC236}">
              <a16:creationId xmlns:a16="http://schemas.microsoft.com/office/drawing/2014/main" id="{00000000-0008-0000-0900-0000AF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943</xdr:row>
      <xdr:rowOff>0</xdr:rowOff>
    </xdr:from>
    <xdr:ext cx="381000" cy="381000"/>
    <xdr:pic>
      <xdr:nvPicPr>
        <xdr:cNvPr id="944" name="image107.jpg">
          <a:extLst>
            <a:ext uri="{FF2B5EF4-FFF2-40B4-BE49-F238E27FC236}">
              <a16:creationId xmlns:a16="http://schemas.microsoft.com/office/drawing/2014/main" id="{00000000-0008-0000-0900-0000B0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944</xdr:row>
      <xdr:rowOff>0</xdr:rowOff>
    </xdr:from>
    <xdr:ext cx="381000" cy="381000"/>
    <xdr:pic>
      <xdr:nvPicPr>
        <xdr:cNvPr id="945" name="image107.jpg">
          <a:extLst>
            <a:ext uri="{FF2B5EF4-FFF2-40B4-BE49-F238E27FC236}">
              <a16:creationId xmlns:a16="http://schemas.microsoft.com/office/drawing/2014/main" id="{00000000-0008-0000-0900-0000B1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945</xdr:row>
      <xdr:rowOff>0</xdr:rowOff>
    </xdr:from>
    <xdr:ext cx="381000" cy="381000"/>
    <xdr:pic>
      <xdr:nvPicPr>
        <xdr:cNvPr id="946" name="image107.jpg">
          <a:extLst>
            <a:ext uri="{FF2B5EF4-FFF2-40B4-BE49-F238E27FC236}">
              <a16:creationId xmlns:a16="http://schemas.microsoft.com/office/drawing/2014/main" id="{00000000-0008-0000-0900-0000B2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946</xdr:row>
      <xdr:rowOff>0</xdr:rowOff>
    </xdr:from>
    <xdr:ext cx="381000" cy="381000"/>
    <xdr:pic>
      <xdr:nvPicPr>
        <xdr:cNvPr id="947" name="image107.jpg">
          <a:extLst>
            <a:ext uri="{FF2B5EF4-FFF2-40B4-BE49-F238E27FC236}">
              <a16:creationId xmlns:a16="http://schemas.microsoft.com/office/drawing/2014/main" id="{00000000-0008-0000-0900-0000B3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947</xdr:row>
      <xdr:rowOff>0</xdr:rowOff>
    </xdr:from>
    <xdr:ext cx="381000" cy="381000"/>
    <xdr:pic>
      <xdr:nvPicPr>
        <xdr:cNvPr id="948" name="image107.jpg">
          <a:extLst>
            <a:ext uri="{FF2B5EF4-FFF2-40B4-BE49-F238E27FC236}">
              <a16:creationId xmlns:a16="http://schemas.microsoft.com/office/drawing/2014/main" id="{00000000-0008-0000-0900-0000B4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948</xdr:row>
      <xdr:rowOff>0</xdr:rowOff>
    </xdr:from>
    <xdr:ext cx="381000" cy="381000"/>
    <xdr:pic>
      <xdr:nvPicPr>
        <xdr:cNvPr id="949" name="image107.jpg">
          <a:extLst>
            <a:ext uri="{FF2B5EF4-FFF2-40B4-BE49-F238E27FC236}">
              <a16:creationId xmlns:a16="http://schemas.microsoft.com/office/drawing/2014/main" id="{00000000-0008-0000-0900-0000B5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949</xdr:row>
      <xdr:rowOff>0</xdr:rowOff>
    </xdr:from>
    <xdr:ext cx="381000" cy="381000"/>
    <xdr:pic>
      <xdr:nvPicPr>
        <xdr:cNvPr id="950" name="image107.jpg">
          <a:extLst>
            <a:ext uri="{FF2B5EF4-FFF2-40B4-BE49-F238E27FC236}">
              <a16:creationId xmlns:a16="http://schemas.microsoft.com/office/drawing/2014/main" id="{00000000-0008-0000-0900-0000B6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950</xdr:row>
      <xdr:rowOff>0</xdr:rowOff>
    </xdr:from>
    <xdr:ext cx="381000" cy="381000"/>
    <xdr:pic>
      <xdr:nvPicPr>
        <xdr:cNvPr id="951" name="image107.jpg">
          <a:extLst>
            <a:ext uri="{FF2B5EF4-FFF2-40B4-BE49-F238E27FC236}">
              <a16:creationId xmlns:a16="http://schemas.microsoft.com/office/drawing/2014/main" id="{00000000-0008-0000-0900-0000B7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951</xdr:row>
      <xdr:rowOff>0</xdr:rowOff>
    </xdr:from>
    <xdr:ext cx="381000" cy="381000"/>
    <xdr:pic>
      <xdr:nvPicPr>
        <xdr:cNvPr id="952" name="image107.jpg">
          <a:extLst>
            <a:ext uri="{FF2B5EF4-FFF2-40B4-BE49-F238E27FC236}">
              <a16:creationId xmlns:a16="http://schemas.microsoft.com/office/drawing/2014/main" id="{00000000-0008-0000-0900-0000B8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952</xdr:row>
      <xdr:rowOff>0</xdr:rowOff>
    </xdr:from>
    <xdr:ext cx="381000" cy="381000"/>
    <xdr:pic>
      <xdr:nvPicPr>
        <xdr:cNvPr id="953" name="image107.jpg">
          <a:extLst>
            <a:ext uri="{FF2B5EF4-FFF2-40B4-BE49-F238E27FC236}">
              <a16:creationId xmlns:a16="http://schemas.microsoft.com/office/drawing/2014/main" id="{00000000-0008-0000-0900-0000B9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953</xdr:row>
      <xdr:rowOff>0</xdr:rowOff>
    </xdr:from>
    <xdr:ext cx="381000" cy="381000"/>
    <xdr:pic>
      <xdr:nvPicPr>
        <xdr:cNvPr id="954" name="image107.jpg">
          <a:extLst>
            <a:ext uri="{FF2B5EF4-FFF2-40B4-BE49-F238E27FC236}">
              <a16:creationId xmlns:a16="http://schemas.microsoft.com/office/drawing/2014/main" id="{00000000-0008-0000-0900-0000BA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954</xdr:row>
      <xdr:rowOff>0</xdr:rowOff>
    </xdr:from>
    <xdr:ext cx="381000" cy="381000"/>
    <xdr:pic>
      <xdr:nvPicPr>
        <xdr:cNvPr id="955" name="image107.jpg">
          <a:extLst>
            <a:ext uri="{FF2B5EF4-FFF2-40B4-BE49-F238E27FC236}">
              <a16:creationId xmlns:a16="http://schemas.microsoft.com/office/drawing/2014/main" id="{00000000-0008-0000-0900-0000BB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955</xdr:row>
      <xdr:rowOff>0</xdr:rowOff>
    </xdr:from>
    <xdr:ext cx="381000" cy="381000"/>
    <xdr:pic>
      <xdr:nvPicPr>
        <xdr:cNvPr id="956" name="image107.jpg">
          <a:extLst>
            <a:ext uri="{FF2B5EF4-FFF2-40B4-BE49-F238E27FC236}">
              <a16:creationId xmlns:a16="http://schemas.microsoft.com/office/drawing/2014/main" id="{00000000-0008-0000-0900-0000BC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956</xdr:row>
      <xdr:rowOff>0</xdr:rowOff>
    </xdr:from>
    <xdr:ext cx="381000" cy="381000"/>
    <xdr:pic>
      <xdr:nvPicPr>
        <xdr:cNvPr id="957" name="image107.jpg">
          <a:extLst>
            <a:ext uri="{FF2B5EF4-FFF2-40B4-BE49-F238E27FC236}">
              <a16:creationId xmlns:a16="http://schemas.microsoft.com/office/drawing/2014/main" id="{00000000-0008-0000-0900-0000BD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957</xdr:row>
      <xdr:rowOff>0</xdr:rowOff>
    </xdr:from>
    <xdr:ext cx="381000" cy="381000"/>
    <xdr:pic>
      <xdr:nvPicPr>
        <xdr:cNvPr id="958" name="image107.jpg">
          <a:extLst>
            <a:ext uri="{FF2B5EF4-FFF2-40B4-BE49-F238E27FC236}">
              <a16:creationId xmlns:a16="http://schemas.microsoft.com/office/drawing/2014/main" id="{00000000-0008-0000-0900-0000BE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958</xdr:row>
      <xdr:rowOff>0</xdr:rowOff>
    </xdr:from>
    <xdr:ext cx="381000" cy="381000"/>
    <xdr:pic>
      <xdr:nvPicPr>
        <xdr:cNvPr id="959" name="image107.jpg">
          <a:extLst>
            <a:ext uri="{FF2B5EF4-FFF2-40B4-BE49-F238E27FC236}">
              <a16:creationId xmlns:a16="http://schemas.microsoft.com/office/drawing/2014/main" id="{00000000-0008-0000-0900-0000BF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959</xdr:row>
      <xdr:rowOff>0</xdr:rowOff>
    </xdr:from>
    <xdr:ext cx="381000" cy="381000"/>
    <xdr:pic>
      <xdr:nvPicPr>
        <xdr:cNvPr id="960" name="image107.jpg">
          <a:extLst>
            <a:ext uri="{FF2B5EF4-FFF2-40B4-BE49-F238E27FC236}">
              <a16:creationId xmlns:a16="http://schemas.microsoft.com/office/drawing/2014/main" id="{00000000-0008-0000-0900-0000C0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960</xdr:row>
      <xdr:rowOff>0</xdr:rowOff>
    </xdr:from>
    <xdr:ext cx="381000" cy="381000"/>
    <xdr:pic>
      <xdr:nvPicPr>
        <xdr:cNvPr id="961" name="image107.jpg">
          <a:extLst>
            <a:ext uri="{FF2B5EF4-FFF2-40B4-BE49-F238E27FC236}">
              <a16:creationId xmlns:a16="http://schemas.microsoft.com/office/drawing/2014/main" id="{00000000-0008-0000-0900-0000C1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961</xdr:row>
      <xdr:rowOff>0</xdr:rowOff>
    </xdr:from>
    <xdr:ext cx="381000" cy="381000"/>
    <xdr:pic>
      <xdr:nvPicPr>
        <xdr:cNvPr id="962" name="image107.jpg">
          <a:extLst>
            <a:ext uri="{FF2B5EF4-FFF2-40B4-BE49-F238E27FC236}">
              <a16:creationId xmlns:a16="http://schemas.microsoft.com/office/drawing/2014/main" id="{00000000-0008-0000-0900-0000C2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962</xdr:row>
      <xdr:rowOff>0</xdr:rowOff>
    </xdr:from>
    <xdr:ext cx="381000" cy="381000"/>
    <xdr:pic>
      <xdr:nvPicPr>
        <xdr:cNvPr id="963" name="image107.jpg">
          <a:extLst>
            <a:ext uri="{FF2B5EF4-FFF2-40B4-BE49-F238E27FC236}">
              <a16:creationId xmlns:a16="http://schemas.microsoft.com/office/drawing/2014/main" id="{00000000-0008-0000-0900-0000C3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963</xdr:row>
      <xdr:rowOff>0</xdr:rowOff>
    </xdr:from>
    <xdr:ext cx="381000" cy="381000"/>
    <xdr:pic>
      <xdr:nvPicPr>
        <xdr:cNvPr id="964" name="image107.jpg">
          <a:extLst>
            <a:ext uri="{FF2B5EF4-FFF2-40B4-BE49-F238E27FC236}">
              <a16:creationId xmlns:a16="http://schemas.microsoft.com/office/drawing/2014/main" id="{00000000-0008-0000-0900-0000C4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964</xdr:row>
      <xdr:rowOff>0</xdr:rowOff>
    </xdr:from>
    <xdr:ext cx="381000" cy="381000"/>
    <xdr:pic>
      <xdr:nvPicPr>
        <xdr:cNvPr id="965" name="image107.jpg">
          <a:extLst>
            <a:ext uri="{FF2B5EF4-FFF2-40B4-BE49-F238E27FC236}">
              <a16:creationId xmlns:a16="http://schemas.microsoft.com/office/drawing/2014/main" id="{00000000-0008-0000-0900-0000C5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965</xdr:row>
      <xdr:rowOff>0</xdr:rowOff>
    </xdr:from>
    <xdr:ext cx="381000" cy="381000"/>
    <xdr:pic>
      <xdr:nvPicPr>
        <xdr:cNvPr id="966" name="image107.jpg">
          <a:extLst>
            <a:ext uri="{FF2B5EF4-FFF2-40B4-BE49-F238E27FC236}">
              <a16:creationId xmlns:a16="http://schemas.microsoft.com/office/drawing/2014/main" id="{00000000-0008-0000-0900-0000C6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966</xdr:row>
      <xdr:rowOff>0</xdr:rowOff>
    </xdr:from>
    <xdr:ext cx="381000" cy="381000"/>
    <xdr:pic>
      <xdr:nvPicPr>
        <xdr:cNvPr id="967" name="image107.jpg">
          <a:extLst>
            <a:ext uri="{FF2B5EF4-FFF2-40B4-BE49-F238E27FC236}">
              <a16:creationId xmlns:a16="http://schemas.microsoft.com/office/drawing/2014/main" id="{00000000-0008-0000-0900-0000C7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967</xdr:row>
      <xdr:rowOff>0</xdr:rowOff>
    </xdr:from>
    <xdr:ext cx="381000" cy="381000"/>
    <xdr:pic>
      <xdr:nvPicPr>
        <xdr:cNvPr id="968" name="image107.jpg">
          <a:extLst>
            <a:ext uri="{FF2B5EF4-FFF2-40B4-BE49-F238E27FC236}">
              <a16:creationId xmlns:a16="http://schemas.microsoft.com/office/drawing/2014/main" id="{00000000-0008-0000-0900-0000C8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968</xdr:row>
      <xdr:rowOff>0</xdr:rowOff>
    </xdr:from>
    <xdr:ext cx="381000" cy="381000"/>
    <xdr:pic>
      <xdr:nvPicPr>
        <xdr:cNvPr id="969" name="image107.jpg">
          <a:extLst>
            <a:ext uri="{FF2B5EF4-FFF2-40B4-BE49-F238E27FC236}">
              <a16:creationId xmlns:a16="http://schemas.microsoft.com/office/drawing/2014/main" id="{00000000-0008-0000-0900-0000C9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969</xdr:row>
      <xdr:rowOff>0</xdr:rowOff>
    </xdr:from>
    <xdr:ext cx="381000" cy="381000"/>
    <xdr:pic>
      <xdr:nvPicPr>
        <xdr:cNvPr id="970" name="image107.jpg">
          <a:extLst>
            <a:ext uri="{FF2B5EF4-FFF2-40B4-BE49-F238E27FC236}">
              <a16:creationId xmlns:a16="http://schemas.microsoft.com/office/drawing/2014/main" id="{00000000-0008-0000-0900-0000CA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970</xdr:row>
      <xdr:rowOff>0</xdr:rowOff>
    </xdr:from>
    <xdr:ext cx="381000" cy="381000"/>
    <xdr:pic>
      <xdr:nvPicPr>
        <xdr:cNvPr id="971" name="image107.jpg">
          <a:extLst>
            <a:ext uri="{FF2B5EF4-FFF2-40B4-BE49-F238E27FC236}">
              <a16:creationId xmlns:a16="http://schemas.microsoft.com/office/drawing/2014/main" id="{00000000-0008-0000-0900-0000CB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971</xdr:row>
      <xdr:rowOff>0</xdr:rowOff>
    </xdr:from>
    <xdr:ext cx="381000" cy="381000"/>
    <xdr:pic>
      <xdr:nvPicPr>
        <xdr:cNvPr id="972" name="image107.jpg">
          <a:extLst>
            <a:ext uri="{FF2B5EF4-FFF2-40B4-BE49-F238E27FC236}">
              <a16:creationId xmlns:a16="http://schemas.microsoft.com/office/drawing/2014/main" id="{00000000-0008-0000-0900-0000CC03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xdr:col>
      <xdr:colOff>0</xdr:colOff>
      <xdr:row>972</xdr:row>
      <xdr:rowOff>0</xdr:rowOff>
    </xdr:from>
    <xdr:ext cx="381000" cy="381000"/>
    <xdr:pic>
      <xdr:nvPicPr>
        <xdr:cNvPr id="973" name="image49.jpg">
          <a:extLst>
            <a:ext uri="{FF2B5EF4-FFF2-40B4-BE49-F238E27FC236}">
              <a16:creationId xmlns:a16="http://schemas.microsoft.com/office/drawing/2014/main" id="{00000000-0008-0000-0900-0000CD03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973</xdr:row>
      <xdr:rowOff>0</xdr:rowOff>
    </xdr:from>
    <xdr:ext cx="381000" cy="381000"/>
    <xdr:pic>
      <xdr:nvPicPr>
        <xdr:cNvPr id="974" name="image46.jpg">
          <a:extLst>
            <a:ext uri="{FF2B5EF4-FFF2-40B4-BE49-F238E27FC236}">
              <a16:creationId xmlns:a16="http://schemas.microsoft.com/office/drawing/2014/main" id="{00000000-0008-0000-0900-0000CE03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974</xdr:row>
      <xdr:rowOff>0</xdr:rowOff>
    </xdr:from>
    <xdr:ext cx="381000" cy="381000"/>
    <xdr:pic>
      <xdr:nvPicPr>
        <xdr:cNvPr id="975" name="image20.png">
          <a:extLst>
            <a:ext uri="{FF2B5EF4-FFF2-40B4-BE49-F238E27FC236}">
              <a16:creationId xmlns:a16="http://schemas.microsoft.com/office/drawing/2014/main" id="{00000000-0008-0000-0900-0000CF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975</xdr:row>
      <xdr:rowOff>0</xdr:rowOff>
    </xdr:from>
    <xdr:ext cx="381000" cy="381000"/>
    <xdr:pic>
      <xdr:nvPicPr>
        <xdr:cNvPr id="976" name="image119.png">
          <a:extLst>
            <a:ext uri="{FF2B5EF4-FFF2-40B4-BE49-F238E27FC236}">
              <a16:creationId xmlns:a16="http://schemas.microsoft.com/office/drawing/2014/main" id="{00000000-0008-0000-0900-0000D0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976</xdr:row>
      <xdr:rowOff>0</xdr:rowOff>
    </xdr:from>
    <xdr:ext cx="381000" cy="381000"/>
    <xdr:pic>
      <xdr:nvPicPr>
        <xdr:cNvPr id="977" name="image20.png">
          <a:extLst>
            <a:ext uri="{FF2B5EF4-FFF2-40B4-BE49-F238E27FC236}">
              <a16:creationId xmlns:a16="http://schemas.microsoft.com/office/drawing/2014/main" id="{00000000-0008-0000-0900-0000D1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977</xdr:row>
      <xdr:rowOff>0</xdr:rowOff>
    </xdr:from>
    <xdr:ext cx="381000" cy="381000"/>
    <xdr:pic>
      <xdr:nvPicPr>
        <xdr:cNvPr id="978" name="image20.png">
          <a:extLst>
            <a:ext uri="{FF2B5EF4-FFF2-40B4-BE49-F238E27FC236}">
              <a16:creationId xmlns:a16="http://schemas.microsoft.com/office/drawing/2014/main" id="{00000000-0008-0000-0900-0000D2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978</xdr:row>
      <xdr:rowOff>0</xdr:rowOff>
    </xdr:from>
    <xdr:ext cx="381000" cy="381000"/>
    <xdr:pic>
      <xdr:nvPicPr>
        <xdr:cNvPr id="979" name="image119.png">
          <a:extLst>
            <a:ext uri="{FF2B5EF4-FFF2-40B4-BE49-F238E27FC236}">
              <a16:creationId xmlns:a16="http://schemas.microsoft.com/office/drawing/2014/main" id="{00000000-0008-0000-0900-0000D3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979</xdr:row>
      <xdr:rowOff>0</xdr:rowOff>
    </xdr:from>
    <xdr:ext cx="381000" cy="381000"/>
    <xdr:pic>
      <xdr:nvPicPr>
        <xdr:cNvPr id="980" name="image20.png">
          <a:extLst>
            <a:ext uri="{FF2B5EF4-FFF2-40B4-BE49-F238E27FC236}">
              <a16:creationId xmlns:a16="http://schemas.microsoft.com/office/drawing/2014/main" id="{00000000-0008-0000-0900-0000D4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980</xdr:row>
      <xdr:rowOff>0</xdr:rowOff>
    </xdr:from>
    <xdr:ext cx="381000" cy="381000"/>
    <xdr:pic>
      <xdr:nvPicPr>
        <xdr:cNvPr id="981" name="image20.png">
          <a:extLst>
            <a:ext uri="{FF2B5EF4-FFF2-40B4-BE49-F238E27FC236}">
              <a16:creationId xmlns:a16="http://schemas.microsoft.com/office/drawing/2014/main" id="{00000000-0008-0000-0900-0000D5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981</xdr:row>
      <xdr:rowOff>0</xdr:rowOff>
    </xdr:from>
    <xdr:ext cx="381000" cy="381000"/>
    <xdr:pic>
      <xdr:nvPicPr>
        <xdr:cNvPr id="982" name="image119.png">
          <a:extLst>
            <a:ext uri="{FF2B5EF4-FFF2-40B4-BE49-F238E27FC236}">
              <a16:creationId xmlns:a16="http://schemas.microsoft.com/office/drawing/2014/main" id="{00000000-0008-0000-0900-0000D6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982</xdr:row>
      <xdr:rowOff>0</xdr:rowOff>
    </xdr:from>
    <xdr:ext cx="381000" cy="381000"/>
    <xdr:pic>
      <xdr:nvPicPr>
        <xdr:cNvPr id="983" name="image20.png">
          <a:extLst>
            <a:ext uri="{FF2B5EF4-FFF2-40B4-BE49-F238E27FC236}">
              <a16:creationId xmlns:a16="http://schemas.microsoft.com/office/drawing/2014/main" id="{00000000-0008-0000-0900-0000D7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983</xdr:row>
      <xdr:rowOff>0</xdr:rowOff>
    </xdr:from>
    <xdr:ext cx="381000" cy="381000"/>
    <xdr:pic>
      <xdr:nvPicPr>
        <xdr:cNvPr id="984" name="image49.jpg">
          <a:extLst>
            <a:ext uri="{FF2B5EF4-FFF2-40B4-BE49-F238E27FC236}">
              <a16:creationId xmlns:a16="http://schemas.microsoft.com/office/drawing/2014/main" id="{00000000-0008-0000-0900-0000D803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984</xdr:row>
      <xdr:rowOff>0</xdr:rowOff>
    </xdr:from>
    <xdr:ext cx="381000" cy="381000"/>
    <xdr:pic>
      <xdr:nvPicPr>
        <xdr:cNvPr id="985" name="image46.jpg">
          <a:extLst>
            <a:ext uri="{FF2B5EF4-FFF2-40B4-BE49-F238E27FC236}">
              <a16:creationId xmlns:a16="http://schemas.microsoft.com/office/drawing/2014/main" id="{00000000-0008-0000-0900-0000D903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xdr:col>
      <xdr:colOff>0</xdr:colOff>
      <xdr:row>985</xdr:row>
      <xdr:rowOff>0</xdr:rowOff>
    </xdr:from>
    <xdr:ext cx="381000" cy="381000"/>
    <xdr:pic>
      <xdr:nvPicPr>
        <xdr:cNvPr id="986" name="image119.png">
          <a:extLst>
            <a:ext uri="{FF2B5EF4-FFF2-40B4-BE49-F238E27FC236}">
              <a16:creationId xmlns:a16="http://schemas.microsoft.com/office/drawing/2014/main" id="{00000000-0008-0000-0900-0000DA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986</xdr:row>
      <xdr:rowOff>0</xdr:rowOff>
    </xdr:from>
    <xdr:ext cx="381000" cy="381000"/>
    <xdr:pic>
      <xdr:nvPicPr>
        <xdr:cNvPr id="987" name="image20.png">
          <a:extLst>
            <a:ext uri="{FF2B5EF4-FFF2-40B4-BE49-F238E27FC236}">
              <a16:creationId xmlns:a16="http://schemas.microsoft.com/office/drawing/2014/main" id="{00000000-0008-0000-0900-0000DB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987</xdr:row>
      <xdr:rowOff>0</xdr:rowOff>
    </xdr:from>
    <xdr:ext cx="381000" cy="381000"/>
    <xdr:pic>
      <xdr:nvPicPr>
        <xdr:cNvPr id="988" name="image20.png">
          <a:extLst>
            <a:ext uri="{FF2B5EF4-FFF2-40B4-BE49-F238E27FC236}">
              <a16:creationId xmlns:a16="http://schemas.microsoft.com/office/drawing/2014/main" id="{00000000-0008-0000-0900-0000DC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988</xdr:row>
      <xdr:rowOff>0</xdr:rowOff>
    </xdr:from>
    <xdr:ext cx="381000" cy="381000"/>
    <xdr:pic>
      <xdr:nvPicPr>
        <xdr:cNvPr id="989" name="image119.png">
          <a:extLst>
            <a:ext uri="{FF2B5EF4-FFF2-40B4-BE49-F238E27FC236}">
              <a16:creationId xmlns:a16="http://schemas.microsoft.com/office/drawing/2014/main" id="{00000000-0008-0000-0900-0000DD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989</xdr:row>
      <xdr:rowOff>0</xdr:rowOff>
    </xdr:from>
    <xdr:ext cx="381000" cy="381000"/>
    <xdr:pic>
      <xdr:nvPicPr>
        <xdr:cNvPr id="990" name="image20.png">
          <a:extLst>
            <a:ext uri="{FF2B5EF4-FFF2-40B4-BE49-F238E27FC236}">
              <a16:creationId xmlns:a16="http://schemas.microsoft.com/office/drawing/2014/main" id="{00000000-0008-0000-0900-0000DE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990</xdr:row>
      <xdr:rowOff>0</xdr:rowOff>
    </xdr:from>
    <xdr:ext cx="381000" cy="381000"/>
    <xdr:pic>
      <xdr:nvPicPr>
        <xdr:cNvPr id="991" name="image49.jpg">
          <a:extLst>
            <a:ext uri="{FF2B5EF4-FFF2-40B4-BE49-F238E27FC236}">
              <a16:creationId xmlns:a16="http://schemas.microsoft.com/office/drawing/2014/main" id="{00000000-0008-0000-0900-0000DF03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991</xdr:row>
      <xdr:rowOff>0</xdr:rowOff>
    </xdr:from>
    <xdr:ext cx="381000" cy="381000"/>
    <xdr:pic>
      <xdr:nvPicPr>
        <xdr:cNvPr id="992" name="image119.png">
          <a:extLst>
            <a:ext uri="{FF2B5EF4-FFF2-40B4-BE49-F238E27FC236}">
              <a16:creationId xmlns:a16="http://schemas.microsoft.com/office/drawing/2014/main" id="{00000000-0008-0000-0900-0000E0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992</xdr:row>
      <xdr:rowOff>0</xdr:rowOff>
    </xdr:from>
    <xdr:ext cx="381000" cy="381000"/>
    <xdr:pic>
      <xdr:nvPicPr>
        <xdr:cNvPr id="993" name="image20.png">
          <a:extLst>
            <a:ext uri="{FF2B5EF4-FFF2-40B4-BE49-F238E27FC236}">
              <a16:creationId xmlns:a16="http://schemas.microsoft.com/office/drawing/2014/main" id="{00000000-0008-0000-0900-0000E1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993</xdr:row>
      <xdr:rowOff>0</xdr:rowOff>
    </xdr:from>
    <xdr:ext cx="381000" cy="381000"/>
    <xdr:pic>
      <xdr:nvPicPr>
        <xdr:cNvPr id="994" name="image119.png">
          <a:extLst>
            <a:ext uri="{FF2B5EF4-FFF2-40B4-BE49-F238E27FC236}">
              <a16:creationId xmlns:a16="http://schemas.microsoft.com/office/drawing/2014/main" id="{00000000-0008-0000-0900-0000E2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994</xdr:row>
      <xdr:rowOff>0</xdr:rowOff>
    </xdr:from>
    <xdr:ext cx="381000" cy="381000"/>
    <xdr:pic>
      <xdr:nvPicPr>
        <xdr:cNvPr id="995" name="image20.png">
          <a:extLst>
            <a:ext uri="{FF2B5EF4-FFF2-40B4-BE49-F238E27FC236}">
              <a16:creationId xmlns:a16="http://schemas.microsoft.com/office/drawing/2014/main" id="{00000000-0008-0000-0900-0000E3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995</xdr:row>
      <xdr:rowOff>0</xdr:rowOff>
    </xdr:from>
    <xdr:ext cx="381000" cy="381000"/>
    <xdr:pic>
      <xdr:nvPicPr>
        <xdr:cNvPr id="996" name="image20.png">
          <a:extLst>
            <a:ext uri="{FF2B5EF4-FFF2-40B4-BE49-F238E27FC236}">
              <a16:creationId xmlns:a16="http://schemas.microsoft.com/office/drawing/2014/main" id="{00000000-0008-0000-0900-0000E4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996</xdr:row>
      <xdr:rowOff>0</xdr:rowOff>
    </xdr:from>
    <xdr:ext cx="381000" cy="381000"/>
    <xdr:pic>
      <xdr:nvPicPr>
        <xdr:cNvPr id="997" name="image119.png">
          <a:extLst>
            <a:ext uri="{FF2B5EF4-FFF2-40B4-BE49-F238E27FC236}">
              <a16:creationId xmlns:a16="http://schemas.microsoft.com/office/drawing/2014/main" id="{00000000-0008-0000-0900-0000E5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997</xdr:row>
      <xdr:rowOff>0</xdr:rowOff>
    </xdr:from>
    <xdr:ext cx="381000" cy="381000"/>
    <xdr:pic>
      <xdr:nvPicPr>
        <xdr:cNvPr id="998" name="image20.png">
          <a:extLst>
            <a:ext uri="{FF2B5EF4-FFF2-40B4-BE49-F238E27FC236}">
              <a16:creationId xmlns:a16="http://schemas.microsoft.com/office/drawing/2014/main" id="{00000000-0008-0000-0900-0000E6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998</xdr:row>
      <xdr:rowOff>0</xdr:rowOff>
    </xdr:from>
    <xdr:ext cx="381000" cy="381000"/>
    <xdr:pic>
      <xdr:nvPicPr>
        <xdr:cNvPr id="999" name="image49.jpg">
          <a:extLst>
            <a:ext uri="{FF2B5EF4-FFF2-40B4-BE49-F238E27FC236}">
              <a16:creationId xmlns:a16="http://schemas.microsoft.com/office/drawing/2014/main" id="{00000000-0008-0000-0900-0000E703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xdr:col>
      <xdr:colOff>0</xdr:colOff>
      <xdr:row>999</xdr:row>
      <xdr:rowOff>0</xdr:rowOff>
    </xdr:from>
    <xdr:ext cx="381000" cy="381000"/>
    <xdr:pic>
      <xdr:nvPicPr>
        <xdr:cNvPr id="1000" name="image119.png">
          <a:extLst>
            <a:ext uri="{FF2B5EF4-FFF2-40B4-BE49-F238E27FC236}">
              <a16:creationId xmlns:a16="http://schemas.microsoft.com/office/drawing/2014/main" id="{00000000-0008-0000-0900-0000E8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1000</xdr:row>
      <xdr:rowOff>0</xdr:rowOff>
    </xdr:from>
    <xdr:ext cx="381000" cy="381000"/>
    <xdr:pic>
      <xdr:nvPicPr>
        <xdr:cNvPr id="1001" name="image20.png">
          <a:extLst>
            <a:ext uri="{FF2B5EF4-FFF2-40B4-BE49-F238E27FC236}">
              <a16:creationId xmlns:a16="http://schemas.microsoft.com/office/drawing/2014/main" id="{00000000-0008-0000-0900-0000E9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1001</xdr:row>
      <xdr:rowOff>0</xdr:rowOff>
    </xdr:from>
    <xdr:ext cx="381000" cy="381000"/>
    <xdr:pic>
      <xdr:nvPicPr>
        <xdr:cNvPr id="1002" name="image20.png">
          <a:extLst>
            <a:ext uri="{FF2B5EF4-FFF2-40B4-BE49-F238E27FC236}">
              <a16:creationId xmlns:a16="http://schemas.microsoft.com/office/drawing/2014/main" id="{00000000-0008-0000-0900-0000EA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1002</xdr:row>
      <xdr:rowOff>0</xdr:rowOff>
    </xdr:from>
    <xdr:ext cx="381000" cy="381000"/>
    <xdr:pic>
      <xdr:nvPicPr>
        <xdr:cNvPr id="1003" name="image119.png">
          <a:extLst>
            <a:ext uri="{FF2B5EF4-FFF2-40B4-BE49-F238E27FC236}">
              <a16:creationId xmlns:a16="http://schemas.microsoft.com/office/drawing/2014/main" id="{00000000-0008-0000-0900-0000EB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1003</xdr:row>
      <xdr:rowOff>0</xdr:rowOff>
    </xdr:from>
    <xdr:ext cx="381000" cy="381000"/>
    <xdr:pic>
      <xdr:nvPicPr>
        <xdr:cNvPr id="1004" name="image20.png">
          <a:extLst>
            <a:ext uri="{FF2B5EF4-FFF2-40B4-BE49-F238E27FC236}">
              <a16:creationId xmlns:a16="http://schemas.microsoft.com/office/drawing/2014/main" id="{00000000-0008-0000-0900-0000EC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1004</xdr:row>
      <xdr:rowOff>0</xdr:rowOff>
    </xdr:from>
    <xdr:ext cx="381000" cy="381000"/>
    <xdr:pic>
      <xdr:nvPicPr>
        <xdr:cNvPr id="1005" name="image20.png">
          <a:extLst>
            <a:ext uri="{FF2B5EF4-FFF2-40B4-BE49-F238E27FC236}">
              <a16:creationId xmlns:a16="http://schemas.microsoft.com/office/drawing/2014/main" id="{00000000-0008-0000-0900-0000ED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1005</xdr:row>
      <xdr:rowOff>0</xdr:rowOff>
    </xdr:from>
    <xdr:ext cx="381000" cy="381000"/>
    <xdr:pic>
      <xdr:nvPicPr>
        <xdr:cNvPr id="1006" name="image119.png">
          <a:extLst>
            <a:ext uri="{FF2B5EF4-FFF2-40B4-BE49-F238E27FC236}">
              <a16:creationId xmlns:a16="http://schemas.microsoft.com/office/drawing/2014/main" id="{00000000-0008-0000-0900-0000EE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1006</xdr:row>
      <xdr:rowOff>0</xdr:rowOff>
    </xdr:from>
    <xdr:ext cx="381000" cy="381000"/>
    <xdr:pic>
      <xdr:nvPicPr>
        <xdr:cNvPr id="1007" name="image20.png">
          <a:extLst>
            <a:ext uri="{FF2B5EF4-FFF2-40B4-BE49-F238E27FC236}">
              <a16:creationId xmlns:a16="http://schemas.microsoft.com/office/drawing/2014/main" id="{00000000-0008-0000-0900-0000EF03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xdr:col>
      <xdr:colOff>0</xdr:colOff>
      <xdr:row>1007</xdr:row>
      <xdr:rowOff>0</xdr:rowOff>
    </xdr:from>
    <xdr:ext cx="381000" cy="381000"/>
    <xdr:pic>
      <xdr:nvPicPr>
        <xdr:cNvPr id="1008" name="image119.png">
          <a:extLst>
            <a:ext uri="{FF2B5EF4-FFF2-40B4-BE49-F238E27FC236}">
              <a16:creationId xmlns:a16="http://schemas.microsoft.com/office/drawing/2014/main" id="{00000000-0008-0000-0900-0000F003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xdr:col>
      <xdr:colOff>0</xdr:colOff>
      <xdr:row>1008</xdr:row>
      <xdr:rowOff>0</xdr:rowOff>
    </xdr:from>
    <xdr:ext cx="381000" cy="381000"/>
    <xdr:pic>
      <xdr:nvPicPr>
        <xdr:cNvPr id="1009" name="image153.png">
          <a:extLst>
            <a:ext uri="{FF2B5EF4-FFF2-40B4-BE49-F238E27FC236}">
              <a16:creationId xmlns:a16="http://schemas.microsoft.com/office/drawing/2014/main" id="{00000000-0008-0000-0900-0000F103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0</xdr:colOff>
      <xdr:row>1009</xdr:row>
      <xdr:rowOff>0</xdr:rowOff>
    </xdr:from>
    <xdr:ext cx="381000" cy="381000"/>
    <xdr:pic>
      <xdr:nvPicPr>
        <xdr:cNvPr id="1010" name="image87.jpg">
          <a:extLst>
            <a:ext uri="{FF2B5EF4-FFF2-40B4-BE49-F238E27FC236}">
              <a16:creationId xmlns:a16="http://schemas.microsoft.com/office/drawing/2014/main" id="{00000000-0008-0000-0900-0000F2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1010</xdr:row>
      <xdr:rowOff>0</xdr:rowOff>
    </xdr:from>
    <xdr:ext cx="381000" cy="381000"/>
    <xdr:pic>
      <xdr:nvPicPr>
        <xdr:cNvPr id="1011" name="image87.jpg">
          <a:extLst>
            <a:ext uri="{FF2B5EF4-FFF2-40B4-BE49-F238E27FC236}">
              <a16:creationId xmlns:a16="http://schemas.microsoft.com/office/drawing/2014/main" id="{00000000-0008-0000-0900-0000F3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1011</xdr:row>
      <xdr:rowOff>0</xdr:rowOff>
    </xdr:from>
    <xdr:ext cx="381000" cy="381000"/>
    <xdr:pic>
      <xdr:nvPicPr>
        <xdr:cNvPr id="1012" name="image87.jpg">
          <a:extLst>
            <a:ext uri="{FF2B5EF4-FFF2-40B4-BE49-F238E27FC236}">
              <a16:creationId xmlns:a16="http://schemas.microsoft.com/office/drawing/2014/main" id="{00000000-0008-0000-0900-0000F4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1012</xdr:row>
      <xdr:rowOff>0</xdr:rowOff>
    </xdr:from>
    <xdr:ext cx="381000" cy="381000"/>
    <xdr:pic>
      <xdr:nvPicPr>
        <xdr:cNvPr id="1013" name="image87.jpg">
          <a:extLst>
            <a:ext uri="{FF2B5EF4-FFF2-40B4-BE49-F238E27FC236}">
              <a16:creationId xmlns:a16="http://schemas.microsoft.com/office/drawing/2014/main" id="{00000000-0008-0000-0900-0000F5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1013</xdr:row>
      <xdr:rowOff>0</xdr:rowOff>
    </xdr:from>
    <xdr:ext cx="381000" cy="381000"/>
    <xdr:pic>
      <xdr:nvPicPr>
        <xdr:cNvPr id="1014" name="image87.jpg">
          <a:extLst>
            <a:ext uri="{FF2B5EF4-FFF2-40B4-BE49-F238E27FC236}">
              <a16:creationId xmlns:a16="http://schemas.microsoft.com/office/drawing/2014/main" id="{00000000-0008-0000-0900-0000F6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1014</xdr:row>
      <xdr:rowOff>0</xdr:rowOff>
    </xdr:from>
    <xdr:ext cx="381000" cy="381000"/>
    <xdr:pic>
      <xdr:nvPicPr>
        <xdr:cNvPr id="1015" name="image87.jpg">
          <a:extLst>
            <a:ext uri="{FF2B5EF4-FFF2-40B4-BE49-F238E27FC236}">
              <a16:creationId xmlns:a16="http://schemas.microsoft.com/office/drawing/2014/main" id="{00000000-0008-0000-0900-0000F7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1015</xdr:row>
      <xdr:rowOff>0</xdr:rowOff>
    </xdr:from>
    <xdr:ext cx="381000" cy="381000"/>
    <xdr:pic>
      <xdr:nvPicPr>
        <xdr:cNvPr id="1016" name="image87.jpg">
          <a:extLst>
            <a:ext uri="{FF2B5EF4-FFF2-40B4-BE49-F238E27FC236}">
              <a16:creationId xmlns:a16="http://schemas.microsoft.com/office/drawing/2014/main" id="{00000000-0008-0000-0900-0000F8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1016</xdr:row>
      <xdr:rowOff>0</xdr:rowOff>
    </xdr:from>
    <xdr:ext cx="381000" cy="381000"/>
    <xdr:pic>
      <xdr:nvPicPr>
        <xdr:cNvPr id="1017" name="image87.jpg">
          <a:extLst>
            <a:ext uri="{FF2B5EF4-FFF2-40B4-BE49-F238E27FC236}">
              <a16:creationId xmlns:a16="http://schemas.microsoft.com/office/drawing/2014/main" id="{00000000-0008-0000-0900-0000F9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1017</xdr:row>
      <xdr:rowOff>0</xdr:rowOff>
    </xdr:from>
    <xdr:ext cx="381000" cy="381000"/>
    <xdr:pic>
      <xdr:nvPicPr>
        <xdr:cNvPr id="1018" name="image87.jpg">
          <a:extLst>
            <a:ext uri="{FF2B5EF4-FFF2-40B4-BE49-F238E27FC236}">
              <a16:creationId xmlns:a16="http://schemas.microsoft.com/office/drawing/2014/main" id="{00000000-0008-0000-0900-0000FA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1018</xdr:row>
      <xdr:rowOff>0</xdr:rowOff>
    </xdr:from>
    <xdr:ext cx="381000" cy="381000"/>
    <xdr:pic>
      <xdr:nvPicPr>
        <xdr:cNvPr id="1019" name="image87.jpg">
          <a:extLst>
            <a:ext uri="{FF2B5EF4-FFF2-40B4-BE49-F238E27FC236}">
              <a16:creationId xmlns:a16="http://schemas.microsoft.com/office/drawing/2014/main" id="{00000000-0008-0000-0900-0000FB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1019</xdr:row>
      <xdr:rowOff>0</xdr:rowOff>
    </xdr:from>
    <xdr:ext cx="381000" cy="381000"/>
    <xdr:pic>
      <xdr:nvPicPr>
        <xdr:cNvPr id="1020" name="image87.jpg">
          <a:extLst>
            <a:ext uri="{FF2B5EF4-FFF2-40B4-BE49-F238E27FC236}">
              <a16:creationId xmlns:a16="http://schemas.microsoft.com/office/drawing/2014/main" id="{00000000-0008-0000-0900-0000FC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1020</xdr:row>
      <xdr:rowOff>0</xdr:rowOff>
    </xdr:from>
    <xdr:ext cx="381000" cy="381000"/>
    <xdr:pic>
      <xdr:nvPicPr>
        <xdr:cNvPr id="1021" name="image87.jpg">
          <a:extLst>
            <a:ext uri="{FF2B5EF4-FFF2-40B4-BE49-F238E27FC236}">
              <a16:creationId xmlns:a16="http://schemas.microsoft.com/office/drawing/2014/main" id="{00000000-0008-0000-0900-0000FD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1021</xdr:row>
      <xdr:rowOff>0</xdr:rowOff>
    </xdr:from>
    <xdr:ext cx="381000" cy="381000"/>
    <xdr:pic>
      <xdr:nvPicPr>
        <xdr:cNvPr id="1022" name="image87.jpg">
          <a:extLst>
            <a:ext uri="{FF2B5EF4-FFF2-40B4-BE49-F238E27FC236}">
              <a16:creationId xmlns:a16="http://schemas.microsoft.com/office/drawing/2014/main" id="{00000000-0008-0000-0900-0000FE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1022</xdr:row>
      <xdr:rowOff>0</xdr:rowOff>
    </xdr:from>
    <xdr:ext cx="381000" cy="381000"/>
    <xdr:pic>
      <xdr:nvPicPr>
        <xdr:cNvPr id="1023" name="image87.jpg">
          <a:extLst>
            <a:ext uri="{FF2B5EF4-FFF2-40B4-BE49-F238E27FC236}">
              <a16:creationId xmlns:a16="http://schemas.microsoft.com/office/drawing/2014/main" id="{00000000-0008-0000-0900-0000FF03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1023</xdr:row>
      <xdr:rowOff>0</xdr:rowOff>
    </xdr:from>
    <xdr:ext cx="381000" cy="381000"/>
    <xdr:pic>
      <xdr:nvPicPr>
        <xdr:cNvPr id="1024" name="image87.jpg">
          <a:extLst>
            <a:ext uri="{FF2B5EF4-FFF2-40B4-BE49-F238E27FC236}">
              <a16:creationId xmlns:a16="http://schemas.microsoft.com/office/drawing/2014/main" id="{00000000-0008-0000-0900-000000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1024</xdr:row>
      <xdr:rowOff>0</xdr:rowOff>
    </xdr:from>
    <xdr:ext cx="381000" cy="381000"/>
    <xdr:pic>
      <xdr:nvPicPr>
        <xdr:cNvPr id="1025" name="image87.jpg">
          <a:extLst>
            <a:ext uri="{FF2B5EF4-FFF2-40B4-BE49-F238E27FC236}">
              <a16:creationId xmlns:a16="http://schemas.microsoft.com/office/drawing/2014/main" id="{00000000-0008-0000-0900-000001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1025</xdr:row>
      <xdr:rowOff>0</xdr:rowOff>
    </xdr:from>
    <xdr:ext cx="381000" cy="381000"/>
    <xdr:pic>
      <xdr:nvPicPr>
        <xdr:cNvPr id="1026" name="image87.jpg">
          <a:extLst>
            <a:ext uri="{FF2B5EF4-FFF2-40B4-BE49-F238E27FC236}">
              <a16:creationId xmlns:a16="http://schemas.microsoft.com/office/drawing/2014/main" id="{00000000-0008-0000-0900-000002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1026</xdr:row>
      <xdr:rowOff>0</xdr:rowOff>
    </xdr:from>
    <xdr:ext cx="381000" cy="381000"/>
    <xdr:pic>
      <xdr:nvPicPr>
        <xdr:cNvPr id="1027" name="image87.jpg">
          <a:extLst>
            <a:ext uri="{FF2B5EF4-FFF2-40B4-BE49-F238E27FC236}">
              <a16:creationId xmlns:a16="http://schemas.microsoft.com/office/drawing/2014/main" id="{00000000-0008-0000-0900-000003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1027</xdr:row>
      <xdr:rowOff>0</xdr:rowOff>
    </xdr:from>
    <xdr:ext cx="381000" cy="381000"/>
    <xdr:pic>
      <xdr:nvPicPr>
        <xdr:cNvPr id="1028" name="image87.jpg">
          <a:extLst>
            <a:ext uri="{FF2B5EF4-FFF2-40B4-BE49-F238E27FC236}">
              <a16:creationId xmlns:a16="http://schemas.microsoft.com/office/drawing/2014/main" id="{00000000-0008-0000-0900-000004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1028</xdr:row>
      <xdr:rowOff>0</xdr:rowOff>
    </xdr:from>
    <xdr:ext cx="381000" cy="381000"/>
    <xdr:pic>
      <xdr:nvPicPr>
        <xdr:cNvPr id="1029" name="image87.jpg">
          <a:extLst>
            <a:ext uri="{FF2B5EF4-FFF2-40B4-BE49-F238E27FC236}">
              <a16:creationId xmlns:a16="http://schemas.microsoft.com/office/drawing/2014/main" id="{00000000-0008-0000-0900-000005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1029</xdr:row>
      <xdr:rowOff>0</xdr:rowOff>
    </xdr:from>
    <xdr:ext cx="381000" cy="381000"/>
    <xdr:pic>
      <xdr:nvPicPr>
        <xdr:cNvPr id="1030" name="image87.jpg">
          <a:extLst>
            <a:ext uri="{FF2B5EF4-FFF2-40B4-BE49-F238E27FC236}">
              <a16:creationId xmlns:a16="http://schemas.microsoft.com/office/drawing/2014/main" id="{00000000-0008-0000-0900-000006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1030</xdr:row>
      <xdr:rowOff>0</xdr:rowOff>
    </xdr:from>
    <xdr:ext cx="381000" cy="381000"/>
    <xdr:pic>
      <xdr:nvPicPr>
        <xdr:cNvPr id="1031" name="image87.jpg">
          <a:extLst>
            <a:ext uri="{FF2B5EF4-FFF2-40B4-BE49-F238E27FC236}">
              <a16:creationId xmlns:a16="http://schemas.microsoft.com/office/drawing/2014/main" id="{00000000-0008-0000-0900-000007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1031</xdr:row>
      <xdr:rowOff>0</xdr:rowOff>
    </xdr:from>
    <xdr:ext cx="381000" cy="381000"/>
    <xdr:pic>
      <xdr:nvPicPr>
        <xdr:cNvPr id="1032" name="image87.jpg">
          <a:extLst>
            <a:ext uri="{FF2B5EF4-FFF2-40B4-BE49-F238E27FC236}">
              <a16:creationId xmlns:a16="http://schemas.microsoft.com/office/drawing/2014/main" id="{00000000-0008-0000-0900-000008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1032</xdr:row>
      <xdr:rowOff>0</xdr:rowOff>
    </xdr:from>
    <xdr:ext cx="381000" cy="381000"/>
    <xdr:pic>
      <xdr:nvPicPr>
        <xdr:cNvPr id="1033" name="image87.jpg">
          <a:extLst>
            <a:ext uri="{FF2B5EF4-FFF2-40B4-BE49-F238E27FC236}">
              <a16:creationId xmlns:a16="http://schemas.microsoft.com/office/drawing/2014/main" id="{00000000-0008-0000-0900-000009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1033</xdr:row>
      <xdr:rowOff>0</xdr:rowOff>
    </xdr:from>
    <xdr:ext cx="381000" cy="381000"/>
    <xdr:pic>
      <xdr:nvPicPr>
        <xdr:cNvPr id="1034" name="image87.jpg">
          <a:extLst>
            <a:ext uri="{FF2B5EF4-FFF2-40B4-BE49-F238E27FC236}">
              <a16:creationId xmlns:a16="http://schemas.microsoft.com/office/drawing/2014/main" id="{00000000-0008-0000-0900-00000A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1034</xdr:row>
      <xdr:rowOff>0</xdr:rowOff>
    </xdr:from>
    <xdr:ext cx="381000" cy="381000"/>
    <xdr:pic>
      <xdr:nvPicPr>
        <xdr:cNvPr id="1035" name="image87.jpg">
          <a:extLst>
            <a:ext uri="{FF2B5EF4-FFF2-40B4-BE49-F238E27FC236}">
              <a16:creationId xmlns:a16="http://schemas.microsoft.com/office/drawing/2014/main" id="{00000000-0008-0000-0900-00000B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1035</xdr:row>
      <xdr:rowOff>0</xdr:rowOff>
    </xdr:from>
    <xdr:ext cx="381000" cy="381000"/>
    <xdr:pic>
      <xdr:nvPicPr>
        <xdr:cNvPr id="1036" name="image87.jpg">
          <a:extLst>
            <a:ext uri="{FF2B5EF4-FFF2-40B4-BE49-F238E27FC236}">
              <a16:creationId xmlns:a16="http://schemas.microsoft.com/office/drawing/2014/main" id="{00000000-0008-0000-0900-00000C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1036</xdr:row>
      <xdr:rowOff>0</xdr:rowOff>
    </xdr:from>
    <xdr:ext cx="381000" cy="381000"/>
    <xdr:pic>
      <xdr:nvPicPr>
        <xdr:cNvPr id="1037" name="image87.jpg">
          <a:extLst>
            <a:ext uri="{FF2B5EF4-FFF2-40B4-BE49-F238E27FC236}">
              <a16:creationId xmlns:a16="http://schemas.microsoft.com/office/drawing/2014/main" id="{00000000-0008-0000-0900-00000D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1037</xdr:row>
      <xdr:rowOff>0</xdr:rowOff>
    </xdr:from>
    <xdr:ext cx="381000" cy="381000"/>
    <xdr:pic>
      <xdr:nvPicPr>
        <xdr:cNvPr id="1038" name="image87.jpg">
          <a:extLst>
            <a:ext uri="{FF2B5EF4-FFF2-40B4-BE49-F238E27FC236}">
              <a16:creationId xmlns:a16="http://schemas.microsoft.com/office/drawing/2014/main" id="{00000000-0008-0000-0900-00000E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1038</xdr:row>
      <xdr:rowOff>0</xdr:rowOff>
    </xdr:from>
    <xdr:ext cx="381000" cy="381000"/>
    <xdr:pic>
      <xdr:nvPicPr>
        <xdr:cNvPr id="1039" name="image87.jpg">
          <a:extLst>
            <a:ext uri="{FF2B5EF4-FFF2-40B4-BE49-F238E27FC236}">
              <a16:creationId xmlns:a16="http://schemas.microsoft.com/office/drawing/2014/main" id="{00000000-0008-0000-0900-00000F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1039</xdr:row>
      <xdr:rowOff>0</xdr:rowOff>
    </xdr:from>
    <xdr:ext cx="381000" cy="381000"/>
    <xdr:pic>
      <xdr:nvPicPr>
        <xdr:cNvPr id="1040" name="image87.jpg">
          <a:extLst>
            <a:ext uri="{FF2B5EF4-FFF2-40B4-BE49-F238E27FC236}">
              <a16:creationId xmlns:a16="http://schemas.microsoft.com/office/drawing/2014/main" id="{00000000-0008-0000-0900-000010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1040</xdr:row>
      <xdr:rowOff>0</xdr:rowOff>
    </xdr:from>
    <xdr:ext cx="381000" cy="381000"/>
    <xdr:pic>
      <xdr:nvPicPr>
        <xdr:cNvPr id="1041" name="image87.jpg">
          <a:extLst>
            <a:ext uri="{FF2B5EF4-FFF2-40B4-BE49-F238E27FC236}">
              <a16:creationId xmlns:a16="http://schemas.microsoft.com/office/drawing/2014/main" id="{00000000-0008-0000-0900-000011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1041</xdr:row>
      <xdr:rowOff>0</xdr:rowOff>
    </xdr:from>
    <xdr:ext cx="381000" cy="381000"/>
    <xdr:pic>
      <xdr:nvPicPr>
        <xdr:cNvPr id="1042" name="image87.jpg">
          <a:extLst>
            <a:ext uri="{FF2B5EF4-FFF2-40B4-BE49-F238E27FC236}">
              <a16:creationId xmlns:a16="http://schemas.microsoft.com/office/drawing/2014/main" id="{00000000-0008-0000-0900-000012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xdr:col>
      <xdr:colOff>0</xdr:colOff>
      <xdr:row>1042</xdr:row>
      <xdr:rowOff>0</xdr:rowOff>
    </xdr:from>
    <xdr:ext cx="381000" cy="381000"/>
    <xdr:pic>
      <xdr:nvPicPr>
        <xdr:cNvPr id="1043" name="image87.jpg">
          <a:extLst>
            <a:ext uri="{FF2B5EF4-FFF2-40B4-BE49-F238E27FC236}">
              <a16:creationId xmlns:a16="http://schemas.microsoft.com/office/drawing/2014/main" id="{00000000-0008-0000-0900-00001304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2</xdr:col>
      <xdr:colOff>0</xdr:colOff>
      <xdr:row>1</xdr:row>
      <xdr:rowOff>0</xdr:rowOff>
    </xdr:from>
    <xdr:ext cx="381000" cy="381000"/>
    <xdr:pic>
      <xdr:nvPicPr>
        <xdr:cNvPr id="2" name="image153.png">
          <a:extLst>
            <a:ext uri="{FF2B5EF4-FFF2-40B4-BE49-F238E27FC236}">
              <a16:creationId xmlns:a16="http://schemas.microsoft.com/office/drawing/2014/main" id="{00000000-0008-0000-0A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xdr:row>
      <xdr:rowOff>0</xdr:rowOff>
    </xdr:from>
    <xdr:ext cx="381000" cy="381000"/>
    <xdr:pic>
      <xdr:nvPicPr>
        <xdr:cNvPr id="3" name="image14.jpg">
          <a:extLst>
            <a:ext uri="{FF2B5EF4-FFF2-40B4-BE49-F238E27FC236}">
              <a16:creationId xmlns:a16="http://schemas.microsoft.com/office/drawing/2014/main" id="{00000000-0008-0000-0A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3</xdr:row>
      <xdr:rowOff>0</xdr:rowOff>
    </xdr:from>
    <xdr:ext cx="381000" cy="381000"/>
    <xdr:pic>
      <xdr:nvPicPr>
        <xdr:cNvPr id="4" name="image8.jpg">
          <a:extLst>
            <a:ext uri="{FF2B5EF4-FFF2-40B4-BE49-F238E27FC236}">
              <a16:creationId xmlns:a16="http://schemas.microsoft.com/office/drawing/2014/main" id="{00000000-0008-0000-0A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4</xdr:row>
      <xdr:rowOff>0</xdr:rowOff>
    </xdr:from>
    <xdr:ext cx="381000" cy="381000"/>
    <xdr:pic>
      <xdr:nvPicPr>
        <xdr:cNvPr id="5" name="image153.png">
          <a:extLst>
            <a:ext uri="{FF2B5EF4-FFF2-40B4-BE49-F238E27FC236}">
              <a16:creationId xmlns:a16="http://schemas.microsoft.com/office/drawing/2014/main" id="{00000000-0008-0000-0A00-00000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5</xdr:row>
      <xdr:rowOff>0</xdr:rowOff>
    </xdr:from>
    <xdr:ext cx="381000" cy="381000"/>
    <xdr:pic>
      <xdr:nvPicPr>
        <xdr:cNvPr id="6" name="image14.jpg">
          <a:extLst>
            <a:ext uri="{FF2B5EF4-FFF2-40B4-BE49-F238E27FC236}">
              <a16:creationId xmlns:a16="http://schemas.microsoft.com/office/drawing/2014/main" id="{00000000-0008-0000-0A00-000006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6</xdr:row>
      <xdr:rowOff>0</xdr:rowOff>
    </xdr:from>
    <xdr:ext cx="381000" cy="381000"/>
    <xdr:pic>
      <xdr:nvPicPr>
        <xdr:cNvPr id="7" name="image26.jpg">
          <a:extLst>
            <a:ext uri="{FF2B5EF4-FFF2-40B4-BE49-F238E27FC236}">
              <a16:creationId xmlns:a16="http://schemas.microsoft.com/office/drawing/2014/main" id="{00000000-0008-0000-0A00-000007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7</xdr:row>
      <xdr:rowOff>0</xdr:rowOff>
    </xdr:from>
    <xdr:ext cx="381000" cy="381000"/>
    <xdr:pic>
      <xdr:nvPicPr>
        <xdr:cNvPr id="8" name="image20.png">
          <a:extLst>
            <a:ext uri="{FF2B5EF4-FFF2-40B4-BE49-F238E27FC236}">
              <a16:creationId xmlns:a16="http://schemas.microsoft.com/office/drawing/2014/main" id="{00000000-0008-0000-0A00-00000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8</xdr:row>
      <xdr:rowOff>0</xdr:rowOff>
    </xdr:from>
    <xdr:ext cx="381000" cy="381000"/>
    <xdr:pic>
      <xdr:nvPicPr>
        <xdr:cNvPr id="9" name="image153.png">
          <a:extLst>
            <a:ext uri="{FF2B5EF4-FFF2-40B4-BE49-F238E27FC236}">
              <a16:creationId xmlns:a16="http://schemas.microsoft.com/office/drawing/2014/main" id="{00000000-0008-0000-0A00-000009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9</xdr:row>
      <xdr:rowOff>0</xdr:rowOff>
    </xdr:from>
    <xdr:ext cx="381000" cy="381000"/>
    <xdr:pic>
      <xdr:nvPicPr>
        <xdr:cNvPr id="10" name="image14.jpg">
          <a:extLst>
            <a:ext uri="{FF2B5EF4-FFF2-40B4-BE49-F238E27FC236}">
              <a16:creationId xmlns:a16="http://schemas.microsoft.com/office/drawing/2014/main" id="{00000000-0008-0000-0A00-00000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10</xdr:row>
      <xdr:rowOff>0</xdr:rowOff>
    </xdr:from>
    <xdr:ext cx="381000" cy="381000"/>
    <xdr:pic>
      <xdr:nvPicPr>
        <xdr:cNvPr id="11" name="image26.jpg">
          <a:extLst>
            <a:ext uri="{FF2B5EF4-FFF2-40B4-BE49-F238E27FC236}">
              <a16:creationId xmlns:a16="http://schemas.microsoft.com/office/drawing/2014/main" id="{00000000-0008-0000-0A00-00000B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11</xdr:row>
      <xdr:rowOff>0</xdr:rowOff>
    </xdr:from>
    <xdr:ext cx="381000" cy="381000"/>
    <xdr:pic>
      <xdr:nvPicPr>
        <xdr:cNvPr id="12" name="image8.jpg">
          <a:extLst>
            <a:ext uri="{FF2B5EF4-FFF2-40B4-BE49-F238E27FC236}">
              <a16:creationId xmlns:a16="http://schemas.microsoft.com/office/drawing/2014/main" id="{00000000-0008-0000-0A00-00000C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12</xdr:row>
      <xdr:rowOff>0</xdr:rowOff>
    </xdr:from>
    <xdr:ext cx="381000" cy="381000"/>
    <xdr:pic>
      <xdr:nvPicPr>
        <xdr:cNvPr id="13" name="image153.png">
          <a:extLst>
            <a:ext uri="{FF2B5EF4-FFF2-40B4-BE49-F238E27FC236}">
              <a16:creationId xmlns:a16="http://schemas.microsoft.com/office/drawing/2014/main" id="{00000000-0008-0000-0A00-00000D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13</xdr:row>
      <xdr:rowOff>0</xdr:rowOff>
    </xdr:from>
    <xdr:ext cx="381000" cy="381000"/>
    <xdr:pic>
      <xdr:nvPicPr>
        <xdr:cNvPr id="14" name="image14.jpg">
          <a:extLst>
            <a:ext uri="{FF2B5EF4-FFF2-40B4-BE49-F238E27FC236}">
              <a16:creationId xmlns:a16="http://schemas.microsoft.com/office/drawing/2014/main" id="{00000000-0008-0000-0A00-00000E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14</xdr:row>
      <xdr:rowOff>0</xdr:rowOff>
    </xdr:from>
    <xdr:ext cx="381000" cy="381000"/>
    <xdr:pic>
      <xdr:nvPicPr>
        <xdr:cNvPr id="15" name="image218.jpg">
          <a:extLst>
            <a:ext uri="{FF2B5EF4-FFF2-40B4-BE49-F238E27FC236}">
              <a16:creationId xmlns:a16="http://schemas.microsoft.com/office/drawing/2014/main" id="{00000000-0008-0000-0A00-00000F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15</xdr:row>
      <xdr:rowOff>0</xdr:rowOff>
    </xdr:from>
    <xdr:ext cx="381000" cy="381000"/>
    <xdr:pic>
      <xdr:nvPicPr>
        <xdr:cNvPr id="16" name="image26.jpg">
          <a:extLst>
            <a:ext uri="{FF2B5EF4-FFF2-40B4-BE49-F238E27FC236}">
              <a16:creationId xmlns:a16="http://schemas.microsoft.com/office/drawing/2014/main" id="{00000000-0008-0000-0A00-000010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16</xdr:row>
      <xdr:rowOff>0</xdr:rowOff>
    </xdr:from>
    <xdr:ext cx="381000" cy="381000"/>
    <xdr:pic>
      <xdr:nvPicPr>
        <xdr:cNvPr id="17" name="image153.png">
          <a:extLst>
            <a:ext uri="{FF2B5EF4-FFF2-40B4-BE49-F238E27FC236}">
              <a16:creationId xmlns:a16="http://schemas.microsoft.com/office/drawing/2014/main" id="{00000000-0008-0000-0A00-000011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17</xdr:row>
      <xdr:rowOff>0</xdr:rowOff>
    </xdr:from>
    <xdr:ext cx="381000" cy="381000"/>
    <xdr:pic>
      <xdr:nvPicPr>
        <xdr:cNvPr id="18" name="image49.jpg">
          <a:extLst>
            <a:ext uri="{FF2B5EF4-FFF2-40B4-BE49-F238E27FC236}">
              <a16:creationId xmlns:a16="http://schemas.microsoft.com/office/drawing/2014/main" id="{00000000-0008-0000-0A00-000012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0</xdr:colOff>
      <xdr:row>18</xdr:row>
      <xdr:rowOff>0</xdr:rowOff>
    </xdr:from>
    <xdr:ext cx="381000" cy="381000"/>
    <xdr:pic>
      <xdr:nvPicPr>
        <xdr:cNvPr id="19" name="image205.jpg">
          <a:extLst>
            <a:ext uri="{FF2B5EF4-FFF2-40B4-BE49-F238E27FC236}">
              <a16:creationId xmlns:a16="http://schemas.microsoft.com/office/drawing/2014/main" id="{00000000-0008-0000-0A00-000013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19</xdr:row>
      <xdr:rowOff>0</xdr:rowOff>
    </xdr:from>
    <xdr:ext cx="381000" cy="381000"/>
    <xdr:pic>
      <xdr:nvPicPr>
        <xdr:cNvPr id="20" name="image49.jpg">
          <a:extLst>
            <a:ext uri="{FF2B5EF4-FFF2-40B4-BE49-F238E27FC236}">
              <a16:creationId xmlns:a16="http://schemas.microsoft.com/office/drawing/2014/main" id="{00000000-0008-0000-0A00-000014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0</xdr:colOff>
      <xdr:row>20</xdr:row>
      <xdr:rowOff>0</xdr:rowOff>
    </xdr:from>
    <xdr:ext cx="381000" cy="381000"/>
    <xdr:pic>
      <xdr:nvPicPr>
        <xdr:cNvPr id="21" name="image26.jpg">
          <a:extLst>
            <a:ext uri="{FF2B5EF4-FFF2-40B4-BE49-F238E27FC236}">
              <a16:creationId xmlns:a16="http://schemas.microsoft.com/office/drawing/2014/main" id="{00000000-0008-0000-0A00-00001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21</xdr:row>
      <xdr:rowOff>0</xdr:rowOff>
    </xdr:from>
    <xdr:ext cx="381000" cy="381000"/>
    <xdr:pic>
      <xdr:nvPicPr>
        <xdr:cNvPr id="22" name="image205.jpg">
          <a:extLst>
            <a:ext uri="{FF2B5EF4-FFF2-40B4-BE49-F238E27FC236}">
              <a16:creationId xmlns:a16="http://schemas.microsoft.com/office/drawing/2014/main" id="{00000000-0008-0000-0A00-000016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22</xdr:row>
      <xdr:rowOff>0</xdr:rowOff>
    </xdr:from>
    <xdr:ext cx="381000" cy="381000"/>
    <xdr:pic>
      <xdr:nvPicPr>
        <xdr:cNvPr id="23" name="image49.jpg">
          <a:extLst>
            <a:ext uri="{FF2B5EF4-FFF2-40B4-BE49-F238E27FC236}">
              <a16:creationId xmlns:a16="http://schemas.microsoft.com/office/drawing/2014/main" id="{00000000-0008-0000-0A00-000017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0</xdr:colOff>
      <xdr:row>23</xdr:row>
      <xdr:rowOff>0</xdr:rowOff>
    </xdr:from>
    <xdr:ext cx="381000" cy="381000"/>
    <xdr:pic>
      <xdr:nvPicPr>
        <xdr:cNvPr id="24" name="image26.jpg">
          <a:extLst>
            <a:ext uri="{FF2B5EF4-FFF2-40B4-BE49-F238E27FC236}">
              <a16:creationId xmlns:a16="http://schemas.microsoft.com/office/drawing/2014/main" id="{00000000-0008-0000-0A00-000018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24</xdr:row>
      <xdr:rowOff>0</xdr:rowOff>
    </xdr:from>
    <xdr:ext cx="381000" cy="381000"/>
    <xdr:pic>
      <xdr:nvPicPr>
        <xdr:cNvPr id="25" name="image205.jpg">
          <a:extLst>
            <a:ext uri="{FF2B5EF4-FFF2-40B4-BE49-F238E27FC236}">
              <a16:creationId xmlns:a16="http://schemas.microsoft.com/office/drawing/2014/main" id="{00000000-0008-0000-0A00-00001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25</xdr:row>
      <xdr:rowOff>0</xdr:rowOff>
    </xdr:from>
    <xdr:ext cx="381000" cy="381000"/>
    <xdr:pic>
      <xdr:nvPicPr>
        <xdr:cNvPr id="26" name="image49.jpg">
          <a:extLst>
            <a:ext uri="{FF2B5EF4-FFF2-40B4-BE49-F238E27FC236}">
              <a16:creationId xmlns:a16="http://schemas.microsoft.com/office/drawing/2014/main" id="{00000000-0008-0000-0A00-00001A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2</xdr:col>
      <xdr:colOff>0</xdr:colOff>
      <xdr:row>26</xdr:row>
      <xdr:rowOff>0</xdr:rowOff>
    </xdr:from>
    <xdr:ext cx="381000" cy="381000"/>
    <xdr:pic>
      <xdr:nvPicPr>
        <xdr:cNvPr id="27" name="image26.jpg">
          <a:extLst>
            <a:ext uri="{FF2B5EF4-FFF2-40B4-BE49-F238E27FC236}">
              <a16:creationId xmlns:a16="http://schemas.microsoft.com/office/drawing/2014/main" id="{00000000-0008-0000-0A00-00001B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27</xdr:row>
      <xdr:rowOff>0</xdr:rowOff>
    </xdr:from>
    <xdr:ext cx="381000" cy="381000"/>
    <xdr:pic>
      <xdr:nvPicPr>
        <xdr:cNvPr id="28" name="image205.jpg">
          <a:extLst>
            <a:ext uri="{FF2B5EF4-FFF2-40B4-BE49-F238E27FC236}">
              <a16:creationId xmlns:a16="http://schemas.microsoft.com/office/drawing/2014/main" id="{00000000-0008-0000-0A00-00001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28</xdr:row>
      <xdr:rowOff>0</xdr:rowOff>
    </xdr:from>
    <xdr:ext cx="381000" cy="381000"/>
    <xdr:pic>
      <xdr:nvPicPr>
        <xdr:cNvPr id="29" name="image153.png">
          <a:extLst>
            <a:ext uri="{FF2B5EF4-FFF2-40B4-BE49-F238E27FC236}">
              <a16:creationId xmlns:a16="http://schemas.microsoft.com/office/drawing/2014/main" id="{00000000-0008-0000-0A00-00001D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29</xdr:row>
      <xdr:rowOff>0</xdr:rowOff>
    </xdr:from>
    <xdr:ext cx="381000" cy="381000"/>
    <xdr:pic>
      <xdr:nvPicPr>
        <xdr:cNvPr id="30" name="image53.jpg">
          <a:extLst>
            <a:ext uri="{FF2B5EF4-FFF2-40B4-BE49-F238E27FC236}">
              <a16:creationId xmlns:a16="http://schemas.microsoft.com/office/drawing/2014/main" id="{00000000-0008-0000-0A00-00001E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30</xdr:row>
      <xdr:rowOff>0</xdr:rowOff>
    </xdr:from>
    <xdr:ext cx="381000" cy="381000"/>
    <xdr:pic>
      <xdr:nvPicPr>
        <xdr:cNvPr id="31" name="image256.jpg">
          <a:extLst>
            <a:ext uri="{FF2B5EF4-FFF2-40B4-BE49-F238E27FC236}">
              <a16:creationId xmlns:a16="http://schemas.microsoft.com/office/drawing/2014/main" id="{00000000-0008-0000-0A00-00001F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31</xdr:row>
      <xdr:rowOff>0</xdr:rowOff>
    </xdr:from>
    <xdr:ext cx="381000" cy="381000"/>
    <xdr:pic>
      <xdr:nvPicPr>
        <xdr:cNvPr id="32" name="image113.jpg">
          <a:extLst>
            <a:ext uri="{FF2B5EF4-FFF2-40B4-BE49-F238E27FC236}">
              <a16:creationId xmlns:a16="http://schemas.microsoft.com/office/drawing/2014/main" id="{00000000-0008-0000-0A00-000020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32</xdr:row>
      <xdr:rowOff>0</xdr:rowOff>
    </xdr:from>
    <xdr:ext cx="381000" cy="381000"/>
    <xdr:pic>
      <xdr:nvPicPr>
        <xdr:cNvPr id="33" name="image53.jpg">
          <a:extLst>
            <a:ext uri="{FF2B5EF4-FFF2-40B4-BE49-F238E27FC236}">
              <a16:creationId xmlns:a16="http://schemas.microsoft.com/office/drawing/2014/main" id="{00000000-0008-0000-0A00-000021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33</xdr:row>
      <xdr:rowOff>0</xdr:rowOff>
    </xdr:from>
    <xdr:ext cx="381000" cy="381000"/>
    <xdr:pic>
      <xdr:nvPicPr>
        <xdr:cNvPr id="34" name="image256.jpg">
          <a:extLst>
            <a:ext uri="{FF2B5EF4-FFF2-40B4-BE49-F238E27FC236}">
              <a16:creationId xmlns:a16="http://schemas.microsoft.com/office/drawing/2014/main" id="{00000000-0008-0000-0A00-000022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34</xdr:row>
      <xdr:rowOff>0</xdr:rowOff>
    </xdr:from>
    <xdr:ext cx="381000" cy="381000"/>
    <xdr:pic>
      <xdr:nvPicPr>
        <xdr:cNvPr id="35" name="image113.jpg">
          <a:extLst>
            <a:ext uri="{FF2B5EF4-FFF2-40B4-BE49-F238E27FC236}">
              <a16:creationId xmlns:a16="http://schemas.microsoft.com/office/drawing/2014/main" id="{00000000-0008-0000-0A00-000023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2</xdr:col>
      <xdr:colOff>0</xdr:colOff>
      <xdr:row>35</xdr:row>
      <xdr:rowOff>0</xdr:rowOff>
    </xdr:from>
    <xdr:ext cx="381000" cy="381000"/>
    <xdr:pic>
      <xdr:nvPicPr>
        <xdr:cNvPr id="36" name="image53.jpg">
          <a:extLst>
            <a:ext uri="{FF2B5EF4-FFF2-40B4-BE49-F238E27FC236}">
              <a16:creationId xmlns:a16="http://schemas.microsoft.com/office/drawing/2014/main" id="{00000000-0008-0000-0A00-000024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36</xdr:row>
      <xdr:rowOff>0</xdr:rowOff>
    </xdr:from>
    <xdr:ext cx="381000" cy="381000"/>
    <xdr:pic>
      <xdr:nvPicPr>
        <xdr:cNvPr id="37" name="image256.jpg">
          <a:extLst>
            <a:ext uri="{FF2B5EF4-FFF2-40B4-BE49-F238E27FC236}">
              <a16:creationId xmlns:a16="http://schemas.microsoft.com/office/drawing/2014/main" id="{00000000-0008-0000-0A00-000025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37</xdr:row>
      <xdr:rowOff>0</xdr:rowOff>
    </xdr:from>
    <xdr:ext cx="381000" cy="381000"/>
    <xdr:pic>
      <xdr:nvPicPr>
        <xdr:cNvPr id="38" name="image97.jpg">
          <a:extLst>
            <a:ext uri="{FF2B5EF4-FFF2-40B4-BE49-F238E27FC236}">
              <a16:creationId xmlns:a16="http://schemas.microsoft.com/office/drawing/2014/main" id="{00000000-0008-0000-0A00-000026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38</xdr:row>
      <xdr:rowOff>0</xdr:rowOff>
    </xdr:from>
    <xdr:ext cx="381000" cy="381000"/>
    <xdr:pic>
      <xdr:nvPicPr>
        <xdr:cNvPr id="39" name="image254.jpg">
          <a:extLst>
            <a:ext uri="{FF2B5EF4-FFF2-40B4-BE49-F238E27FC236}">
              <a16:creationId xmlns:a16="http://schemas.microsoft.com/office/drawing/2014/main" id="{00000000-0008-0000-0A00-000027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39</xdr:row>
      <xdr:rowOff>0</xdr:rowOff>
    </xdr:from>
    <xdr:ext cx="381000" cy="381000"/>
    <xdr:pic>
      <xdr:nvPicPr>
        <xdr:cNvPr id="40" name="image20.png">
          <a:extLst>
            <a:ext uri="{FF2B5EF4-FFF2-40B4-BE49-F238E27FC236}">
              <a16:creationId xmlns:a16="http://schemas.microsoft.com/office/drawing/2014/main" id="{00000000-0008-0000-0A00-00002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40</xdr:row>
      <xdr:rowOff>0</xdr:rowOff>
    </xdr:from>
    <xdr:ext cx="381000" cy="381000"/>
    <xdr:pic>
      <xdr:nvPicPr>
        <xdr:cNvPr id="41" name="image97.jpg">
          <a:extLst>
            <a:ext uri="{FF2B5EF4-FFF2-40B4-BE49-F238E27FC236}">
              <a16:creationId xmlns:a16="http://schemas.microsoft.com/office/drawing/2014/main" id="{00000000-0008-0000-0A00-000029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41</xdr:row>
      <xdr:rowOff>0</xdr:rowOff>
    </xdr:from>
    <xdr:ext cx="381000" cy="381000"/>
    <xdr:pic>
      <xdr:nvPicPr>
        <xdr:cNvPr id="42" name="image254.jpg">
          <a:extLst>
            <a:ext uri="{FF2B5EF4-FFF2-40B4-BE49-F238E27FC236}">
              <a16:creationId xmlns:a16="http://schemas.microsoft.com/office/drawing/2014/main" id="{00000000-0008-0000-0A00-00002A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42</xdr:row>
      <xdr:rowOff>0</xdr:rowOff>
    </xdr:from>
    <xdr:ext cx="381000" cy="381000"/>
    <xdr:pic>
      <xdr:nvPicPr>
        <xdr:cNvPr id="43" name="image20.png">
          <a:extLst>
            <a:ext uri="{FF2B5EF4-FFF2-40B4-BE49-F238E27FC236}">
              <a16:creationId xmlns:a16="http://schemas.microsoft.com/office/drawing/2014/main" id="{00000000-0008-0000-0A00-00002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43</xdr:row>
      <xdr:rowOff>0</xdr:rowOff>
    </xdr:from>
    <xdr:ext cx="381000" cy="381000"/>
    <xdr:pic>
      <xdr:nvPicPr>
        <xdr:cNvPr id="44" name="image97.jpg">
          <a:extLst>
            <a:ext uri="{FF2B5EF4-FFF2-40B4-BE49-F238E27FC236}">
              <a16:creationId xmlns:a16="http://schemas.microsoft.com/office/drawing/2014/main" id="{00000000-0008-0000-0A00-00002C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44</xdr:row>
      <xdr:rowOff>0</xdr:rowOff>
    </xdr:from>
    <xdr:ext cx="381000" cy="381000"/>
    <xdr:pic>
      <xdr:nvPicPr>
        <xdr:cNvPr id="45" name="image254.jpg">
          <a:extLst>
            <a:ext uri="{FF2B5EF4-FFF2-40B4-BE49-F238E27FC236}">
              <a16:creationId xmlns:a16="http://schemas.microsoft.com/office/drawing/2014/main" id="{00000000-0008-0000-0A00-00002D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45</xdr:row>
      <xdr:rowOff>0</xdr:rowOff>
    </xdr:from>
    <xdr:ext cx="381000" cy="381000"/>
    <xdr:pic>
      <xdr:nvPicPr>
        <xdr:cNvPr id="46" name="image20.png">
          <a:extLst>
            <a:ext uri="{FF2B5EF4-FFF2-40B4-BE49-F238E27FC236}">
              <a16:creationId xmlns:a16="http://schemas.microsoft.com/office/drawing/2014/main" id="{00000000-0008-0000-0A00-00002E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46</xdr:row>
      <xdr:rowOff>0</xdr:rowOff>
    </xdr:from>
    <xdr:ext cx="381000" cy="381000"/>
    <xdr:pic>
      <xdr:nvPicPr>
        <xdr:cNvPr id="47" name="image153.png">
          <a:extLst>
            <a:ext uri="{FF2B5EF4-FFF2-40B4-BE49-F238E27FC236}">
              <a16:creationId xmlns:a16="http://schemas.microsoft.com/office/drawing/2014/main" id="{00000000-0008-0000-0A00-00002F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47</xdr:row>
      <xdr:rowOff>0</xdr:rowOff>
    </xdr:from>
    <xdr:ext cx="381000" cy="381000"/>
    <xdr:pic>
      <xdr:nvPicPr>
        <xdr:cNvPr id="48" name="image78.jpg">
          <a:extLst>
            <a:ext uri="{FF2B5EF4-FFF2-40B4-BE49-F238E27FC236}">
              <a16:creationId xmlns:a16="http://schemas.microsoft.com/office/drawing/2014/main" id="{00000000-0008-0000-0A00-000030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2</xdr:col>
      <xdr:colOff>0</xdr:colOff>
      <xdr:row>48</xdr:row>
      <xdr:rowOff>0</xdr:rowOff>
    </xdr:from>
    <xdr:ext cx="381000" cy="381000"/>
    <xdr:pic>
      <xdr:nvPicPr>
        <xdr:cNvPr id="49" name="image11.jpg">
          <a:extLst>
            <a:ext uri="{FF2B5EF4-FFF2-40B4-BE49-F238E27FC236}">
              <a16:creationId xmlns:a16="http://schemas.microsoft.com/office/drawing/2014/main" id="{00000000-0008-0000-0A00-000031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49</xdr:row>
      <xdr:rowOff>0</xdr:rowOff>
    </xdr:from>
    <xdr:ext cx="381000" cy="381000"/>
    <xdr:pic>
      <xdr:nvPicPr>
        <xdr:cNvPr id="50" name="image153.png">
          <a:extLst>
            <a:ext uri="{FF2B5EF4-FFF2-40B4-BE49-F238E27FC236}">
              <a16:creationId xmlns:a16="http://schemas.microsoft.com/office/drawing/2014/main" id="{00000000-0008-0000-0A00-00003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50</xdr:row>
      <xdr:rowOff>0</xdr:rowOff>
    </xdr:from>
    <xdr:ext cx="381000" cy="381000"/>
    <xdr:pic>
      <xdr:nvPicPr>
        <xdr:cNvPr id="51" name="image54.jpg">
          <a:extLst>
            <a:ext uri="{FF2B5EF4-FFF2-40B4-BE49-F238E27FC236}">
              <a16:creationId xmlns:a16="http://schemas.microsoft.com/office/drawing/2014/main" id="{00000000-0008-0000-0A00-000033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51</xdr:row>
      <xdr:rowOff>0</xdr:rowOff>
    </xdr:from>
    <xdr:ext cx="381000" cy="381000"/>
    <xdr:pic>
      <xdr:nvPicPr>
        <xdr:cNvPr id="52" name="image32.jpg">
          <a:extLst>
            <a:ext uri="{FF2B5EF4-FFF2-40B4-BE49-F238E27FC236}">
              <a16:creationId xmlns:a16="http://schemas.microsoft.com/office/drawing/2014/main" id="{00000000-0008-0000-0A00-000034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52</xdr:row>
      <xdr:rowOff>0</xdr:rowOff>
    </xdr:from>
    <xdr:ext cx="381000" cy="381000"/>
    <xdr:pic>
      <xdr:nvPicPr>
        <xdr:cNvPr id="53" name="image11.jpg">
          <a:extLst>
            <a:ext uri="{FF2B5EF4-FFF2-40B4-BE49-F238E27FC236}">
              <a16:creationId xmlns:a16="http://schemas.microsoft.com/office/drawing/2014/main" id="{00000000-0008-0000-0A00-000035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53</xdr:row>
      <xdr:rowOff>0</xdr:rowOff>
    </xdr:from>
    <xdr:ext cx="381000" cy="381000"/>
    <xdr:pic>
      <xdr:nvPicPr>
        <xdr:cNvPr id="54" name="image11.jpg">
          <a:extLst>
            <a:ext uri="{FF2B5EF4-FFF2-40B4-BE49-F238E27FC236}">
              <a16:creationId xmlns:a16="http://schemas.microsoft.com/office/drawing/2014/main" id="{00000000-0008-0000-0A00-000036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54</xdr:row>
      <xdr:rowOff>0</xdr:rowOff>
    </xdr:from>
    <xdr:ext cx="381000" cy="381000"/>
    <xdr:pic>
      <xdr:nvPicPr>
        <xdr:cNvPr id="55" name="image32.jpg">
          <a:extLst>
            <a:ext uri="{FF2B5EF4-FFF2-40B4-BE49-F238E27FC236}">
              <a16:creationId xmlns:a16="http://schemas.microsoft.com/office/drawing/2014/main" id="{00000000-0008-0000-0A00-000037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55</xdr:row>
      <xdr:rowOff>0</xdr:rowOff>
    </xdr:from>
    <xdr:ext cx="381000" cy="381000"/>
    <xdr:pic>
      <xdr:nvPicPr>
        <xdr:cNvPr id="56" name="image54.jpg">
          <a:extLst>
            <a:ext uri="{FF2B5EF4-FFF2-40B4-BE49-F238E27FC236}">
              <a16:creationId xmlns:a16="http://schemas.microsoft.com/office/drawing/2014/main" id="{00000000-0008-0000-0A00-000038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2</xdr:col>
      <xdr:colOff>0</xdr:colOff>
      <xdr:row>56</xdr:row>
      <xdr:rowOff>0</xdr:rowOff>
    </xdr:from>
    <xdr:ext cx="381000" cy="381000"/>
    <xdr:pic>
      <xdr:nvPicPr>
        <xdr:cNvPr id="57" name="image27.jpg">
          <a:extLst>
            <a:ext uri="{FF2B5EF4-FFF2-40B4-BE49-F238E27FC236}">
              <a16:creationId xmlns:a16="http://schemas.microsoft.com/office/drawing/2014/main" id="{00000000-0008-0000-0A00-000039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57</xdr:row>
      <xdr:rowOff>0</xdr:rowOff>
    </xdr:from>
    <xdr:ext cx="381000" cy="381000"/>
    <xdr:pic>
      <xdr:nvPicPr>
        <xdr:cNvPr id="58" name="image48.jpg">
          <a:extLst>
            <a:ext uri="{FF2B5EF4-FFF2-40B4-BE49-F238E27FC236}">
              <a16:creationId xmlns:a16="http://schemas.microsoft.com/office/drawing/2014/main" id="{00000000-0008-0000-0A00-00003A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58</xdr:row>
      <xdr:rowOff>0</xdr:rowOff>
    </xdr:from>
    <xdr:ext cx="381000" cy="381000"/>
    <xdr:pic>
      <xdr:nvPicPr>
        <xdr:cNvPr id="59" name="image46.jpg">
          <a:extLst>
            <a:ext uri="{FF2B5EF4-FFF2-40B4-BE49-F238E27FC236}">
              <a16:creationId xmlns:a16="http://schemas.microsoft.com/office/drawing/2014/main" id="{00000000-0008-0000-0A00-00003B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59</xdr:row>
      <xdr:rowOff>0</xdr:rowOff>
    </xdr:from>
    <xdr:ext cx="381000" cy="381000"/>
    <xdr:pic>
      <xdr:nvPicPr>
        <xdr:cNvPr id="60" name="image27.jpg">
          <a:extLst>
            <a:ext uri="{FF2B5EF4-FFF2-40B4-BE49-F238E27FC236}">
              <a16:creationId xmlns:a16="http://schemas.microsoft.com/office/drawing/2014/main" id="{00000000-0008-0000-0A00-00003C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60</xdr:row>
      <xdr:rowOff>0</xdr:rowOff>
    </xdr:from>
    <xdr:ext cx="381000" cy="381000"/>
    <xdr:pic>
      <xdr:nvPicPr>
        <xdr:cNvPr id="61" name="image11.jpg">
          <a:extLst>
            <a:ext uri="{FF2B5EF4-FFF2-40B4-BE49-F238E27FC236}">
              <a16:creationId xmlns:a16="http://schemas.microsoft.com/office/drawing/2014/main" id="{00000000-0008-0000-0A00-00003D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61</xdr:row>
      <xdr:rowOff>0</xdr:rowOff>
    </xdr:from>
    <xdr:ext cx="381000" cy="381000"/>
    <xdr:pic>
      <xdr:nvPicPr>
        <xdr:cNvPr id="62" name="image153.png">
          <a:extLst>
            <a:ext uri="{FF2B5EF4-FFF2-40B4-BE49-F238E27FC236}">
              <a16:creationId xmlns:a16="http://schemas.microsoft.com/office/drawing/2014/main" id="{00000000-0008-0000-0A00-00003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62</xdr:row>
      <xdr:rowOff>0</xdr:rowOff>
    </xdr:from>
    <xdr:ext cx="381000" cy="381000"/>
    <xdr:pic>
      <xdr:nvPicPr>
        <xdr:cNvPr id="63" name="image21.jpg">
          <a:extLst>
            <a:ext uri="{FF2B5EF4-FFF2-40B4-BE49-F238E27FC236}">
              <a16:creationId xmlns:a16="http://schemas.microsoft.com/office/drawing/2014/main" id="{00000000-0008-0000-0A00-00003F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63</xdr:row>
      <xdr:rowOff>0</xdr:rowOff>
    </xdr:from>
    <xdr:ext cx="381000" cy="381000"/>
    <xdr:pic>
      <xdr:nvPicPr>
        <xdr:cNvPr id="64" name="image43.jpg">
          <a:extLst>
            <a:ext uri="{FF2B5EF4-FFF2-40B4-BE49-F238E27FC236}">
              <a16:creationId xmlns:a16="http://schemas.microsoft.com/office/drawing/2014/main" id="{00000000-0008-0000-0A00-000040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64</xdr:row>
      <xdr:rowOff>0</xdr:rowOff>
    </xdr:from>
    <xdr:ext cx="381000" cy="381000"/>
    <xdr:pic>
      <xdr:nvPicPr>
        <xdr:cNvPr id="65" name="image11.jpg">
          <a:extLst>
            <a:ext uri="{FF2B5EF4-FFF2-40B4-BE49-F238E27FC236}">
              <a16:creationId xmlns:a16="http://schemas.microsoft.com/office/drawing/2014/main" id="{00000000-0008-0000-0A00-000041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65</xdr:row>
      <xdr:rowOff>0</xdr:rowOff>
    </xdr:from>
    <xdr:ext cx="381000" cy="381000"/>
    <xdr:pic>
      <xdr:nvPicPr>
        <xdr:cNvPr id="66" name="image11.jpg">
          <a:extLst>
            <a:ext uri="{FF2B5EF4-FFF2-40B4-BE49-F238E27FC236}">
              <a16:creationId xmlns:a16="http://schemas.microsoft.com/office/drawing/2014/main" id="{00000000-0008-0000-0A00-000042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66</xdr:row>
      <xdr:rowOff>0</xdr:rowOff>
    </xdr:from>
    <xdr:ext cx="381000" cy="381000"/>
    <xdr:pic>
      <xdr:nvPicPr>
        <xdr:cNvPr id="67" name="image48.jpg">
          <a:extLst>
            <a:ext uri="{FF2B5EF4-FFF2-40B4-BE49-F238E27FC236}">
              <a16:creationId xmlns:a16="http://schemas.microsoft.com/office/drawing/2014/main" id="{00000000-0008-0000-0A00-000043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67</xdr:row>
      <xdr:rowOff>0</xdr:rowOff>
    </xdr:from>
    <xdr:ext cx="381000" cy="381000"/>
    <xdr:pic>
      <xdr:nvPicPr>
        <xdr:cNvPr id="68" name="image43.jpg">
          <a:extLst>
            <a:ext uri="{FF2B5EF4-FFF2-40B4-BE49-F238E27FC236}">
              <a16:creationId xmlns:a16="http://schemas.microsoft.com/office/drawing/2014/main" id="{00000000-0008-0000-0A00-000044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68</xdr:row>
      <xdr:rowOff>0</xdr:rowOff>
    </xdr:from>
    <xdr:ext cx="381000" cy="381000"/>
    <xdr:pic>
      <xdr:nvPicPr>
        <xdr:cNvPr id="69" name="image11.jpg">
          <a:extLst>
            <a:ext uri="{FF2B5EF4-FFF2-40B4-BE49-F238E27FC236}">
              <a16:creationId xmlns:a16="http://schemas.microsoft.com/office/drawing/2014/main" id="{00000000-0008-0000-0A00-000045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69</xdr:row>
      <xdr:rowOff>0</xdr:rowOff>
    </xdr:from>
    <xdr:ext cx="381000" cy="381000"/>
    <xdr:pic>
      <xdr:nvPicPr>
        <xdr:cNvPr id="70" name="image48.jpg">
          <a:extLst>
            <a:ext uri="{FF2B5EF4-FFF2-40B4-BE49-F238E27FC236}">
              <a16:creationId xmlns:a16="http://schemas.microsoft.com/office/drawing/2014/main" id="{00000000-0008-0000-0A00-000046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70</xdr:row>
      <xdr:rowOff>0</xdr:rowOff>
    </xdr:from>
    <xdr:ext cx="381000" cy="381000"/>
    <xdr:pic>
      <xdr:nvPicPr>
        <xdr:cNvPr id="71" name="image43.jpg">
          <a:extLst>
            <a:ext uri="{FF2B5EF4-FFF2-40B4-BE49-F238E27FC236}">
              <a16:creationId xmlns:a16="http://schemas.microsoft.com/office/drawing/2014/main" id="{00000000-0008-0000-0A00-00004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71</xdr:row>
      <xdr:rowOff>0</xdr:rowOff>
    </xdr:from>
    <xdr:ext cx="381000" cy="381000"/>
    <xdr:pic>
      <xdr:nvPicPr>
        <xdr:cNvPr id="72" name="image11.jpg">
          <a:extLst>
            <a:ext uri="{FF2B5EF4-FFF2-40B4-BE49-F238E27FC236}">
              <a16:creationId xmlns:a16="http://schemas.microsoft.com/office/drawing/2014/main" id="{00000000-0008-0000-0A00-000048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72</xdr:row>
      <xdr:rowOff>0</xdr:rowOff>
    </xdr:from>
    <xdr:ext cx="381000" cy="381000"/>
    <xdr:pic>
      <xdr:nvPicPr>
        <xdr:cNvPr id="73" name="image48.jpg">
          <a:extLst>
            <a:ext uri="{FF2B5EF4-FFF2-40B4-BE49-F238E27FC236}">
              <a16:creationId xmlns:a16="http://schemas.microsoft.com/office/drawing/2014/main" id="{00000000-0008-0000-0A00-000049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73</xdr:row>
      <xdr:rowOff>0</xdr:rowOff>
    </xdr:from>
    <xdr:ext cx="381000" cy="381000"/>
    <xdr:pic>
      <xdr:nvPicPr>
        <xdr:cNvPr id="74" name="image27.jpg">
          <a:extLst>
            <a:ext uri="{FF2B5EF4-FFF2-40B4-BE49-F238E27FC236}">
              <a16:creationId xmlns:a16="http://schemas.microsoft.com/office/drawing/2014/main" id="{00000000-0008-0000-0A00-00004A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74</xdr:row>
      <xdr:rowOff>0</xdr:rowOff>
    </xdr:from>
    <xdr:ext cx="381000" cy="381000"/>
    <xdr:pic>
      <xdr:nvPicPr>
        <xdr:cNvPr id="75" name="image53.jpg">
          <a:extLst>
            <a:ext uri="{FF2B5EF4-FFF2-40B4-BE49-F238E27FC236}">
              <a16:creationId xmlns:a16="http://schemas.microsoft.com/office/drawing/2014/main" id="{00000000-0008-0000-0A00-00004B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75</xdr:row>
      <xdr:rowOff>0</xdr:rowOff>
    </xdr:from>
    <xdr:ext cx="381000" cy="381000"/>
    <xdr:pic>
      <xdr:nvPicPr>
        <xdr:cNvPr id="76" name="image30.jpg">
          <a:extLst>
            <a:ext uri="{FF2B5EF4-FFF2-40B4-BE49-F238E27FC236}">
              <a16:creationId xmlns:a16="http://schemas.microsoft.com/office/drawing/2014/main" id="{00000000-0008-0000-0A00-00004C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76</xdr:row>
      <xdr:rowOff>0</xdr:rowOff>
    </xdr:from>
    <xdr:ext cx="381000" cy="381000"/>
    <xdr:pic>
      <xdr:nvPicPr>
        <xdr:cNvPr id="77" name="image27.jpg">
          <a:extLst>
            <a:ext uri="{FF2B5EF4-FFF2-40B4-BE49-F238E27FC236}">
              <a16:creationId xmlns:a16="http://schemas.microsoft.com/office/drawing/2014/main" id="{00000000-0008-0000-0A00-00004D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77</xdr:row>
      <xdr:rowOff>0</xdr:rowOff>
    </xdr:from>
    <xdr:ext cx="381000" cy="381000"/>
    <xdr:pic>
      <xdr:nvPicPr>
        <xdr:cNvPr id="78" name="image153.png">
          <a:extLst>
            <a:ext uri="{FF2B5EF4-FFF2-40B4-BE49-F238E27FC236}">
              <a16:creationId xmlns:a16="http://schemas.microsoft.com/office/drawing/2014/main" id="{00000000-0008-0000-0A00-00004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78</xdr:row>
      <xdr:rowOff>0</xdr:rowOff>
    </xdr:from>
    <xdr:ext cx="381000" cy="381000"/>
    <xdr:pic>
      <xdr:nvPicPr>
        <xdr:cNvPr id="79" name="image22.jpg">
          <a:extLst>
            <a:ext uri="{FF2B5EF4-FFF2-40B4-BE49-F238E27FC236}">
              <a16:creationId xmlns:a16="http://schemas.microsoft.com/office/drawing/2014/main" id="{00000000-0008-0000-0A00-00004F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0</xdr:colOff>
      <xdr:row>79</xdr:row>
      <xdr:rowOff>0</xdr:rowOff>
    </xdr:from>
    <xdr:ext cx="381000" cy="381000"/>
    <xdr:pic>
      <xdr:nvPicPr>
        <xdr:cNvPr id="80" name="image46.jpg">
          <a:extLst>
            <a:ext uri="{FF2B5EF4-FFF2-40B4-BE49-F238E27FC236}">
              <a16:creationId xmlns:a16="http://schemas.microsoft.com/office/drawing/2014/main" id="{00000000-0008-0000-0A00-000050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80</xdr:row>
      <xdr:rowOff>0</xdr:rowOff>
    </xdr:from>
    <xdr:ext cx="381000" cy="381000"/>
    <xdr:pic>
      <xdr:nvPicPr>
        <xdr:cNvPr id="81" name="image48.jpg">
          <a:extLst>
            <a:ext uri="{FF2B5EF4-FFF2-40B4-BE49-F238E27FC236}">
              <a16:creationId xmlns:a16="http://schemas.microsoft.com/office/drawing/2014/main" id="{00000000-0008-0000-0A00-000051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81</xdr:row>
      <xdr:rowOff>0</xdr:rowOff>
    </xdr:from>
    <xdr:ext cx="381000" cy="381000"/>
    <xdr:pic>
      <xdr:nvPicPr>
        <xdr:cNvPr id="82" name="image22.jpg">
          <a:extLst>
            <a:ext uri="{FF2B5EF4-FFF2-40B4-BE49-F238E27FC236}">
              <a16:creationId xmlns:a16="http://schemas.microsoft.com/office/drawing/2014/main" id="{00000000-0008-0000-0A00-000052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0</xdr:colOff>
      <xdr:row>82</xdr:row>
      <xdr:rowOff>0</xdr:rowOff>
    </xdr:from>
    <xdr:ext cx="381000" cy="381000"/>
    <xdr:pic>
      <xdr:nvPicPr>
        <xdr:cNvPr id="83" name="image46.jpg">
          <a:extLst>
            <a:ext uri="{FF2B5EF4-FFF2-40B4-BE49-F238E27FC236}">
              <a16:creationId xmlns:a16="http://schemas.microsoft.com/office/drawing/2014/main" id="{00000000-0008-0000-0A00-000053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83</xdr:row>
      <xdr:rowOff>0</xdr:rowOff>
    </xdr:from>
    <xdr:ext cx="381000" cy="381000"/>
    <xdr:pic>
      <xdr:nvPicPr>
        <xdr:cNvPr id="84" name="image48.jpg">
          <a:extLst>
            <a:ext uri="{FF2B5EF4-FFF2-40B4-BE49-F238E27FC236}">
              <a16:creationId xmlns:a16="http://schemas.microsoft.com/office/drawing/2014/main" id="{00000000-0008-0000-0A00-00005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84</xdr:row>
      <xdr:rowOff>0</xdr:rowOff>
    </xdr:from>
    <xdr:ext cx="381000" cy="381000"/>
    <xdr:pic>
      <xdr:nvPicPr>
        <xdr:cNvPr id="85" name="image22.jpg">
          <a:extLst>
            <a:ext uri="{FF2B5EF4-FFF2-40B4-BE49-F238E27FC236}">
              <a16:creationId xmlns:a16="http://schemas.microsoft.com/office/drawing/2014/main" id="{00000000-0008-0000-0A00-000055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0</xdr:colOff>
      <xdr:row>85</xdr:row>
      <xdr:rowOff>0</xdr:rowOff>
    </xdr:from>
    <xdr:ext cx="381000" cy="381000"/>
    <xdr:pic>
      <xdr:nvPicPr>
        <xdr:cNvPr id="86" name="image46.jpg">
          <a:extLst>
            <a:ext uri="{FF2B5EF4-FFF2-40B4-BE49-F238E27FC236}">
              <a16:creationId xmlns:a16="http://schemas.microsoft.com/office/drawing/2014/main" id="{00000000-0008-0000-0A00-000056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86</xdr:row>
      <xdr:rowOff>0</xdr:rowOff>
    </xdr:from>
    <xdr:ext cx="381000" cy="381000"/>
    <xdr:pic>
      <xdr:nvPicPr>
        <xdr:cNvPr id="87" name="image48.jpg">
          <a:extLst>
            <a:ext uri="{FF2B5EF4-FFF2-40B4-BE49-F238E27FC236}">
              <a16:creationId xmlns:a16="http://schemas.microsoft.com/office/drawing/2014/main" id="{00000000-0008-0000-0A00-000057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2</xdr:col>
      <xdr:colOff>0</xdr:colOff>
      <xdr:row>87</xdr:row>
      <xdr:rowOff>0</xdr:rowOff>
    </xdr:from>
    <xdr:ext cx="381000" cy="381000"/>
    <xdr:pic>
      <xdr:nvPicPr>
        <xdr:cNvPr id="88" name="image21.jpg">
          <a:extLst>
            <a:ext uri="{FF2B5EF4-FFF2-40B4-BE49-F238E27FC236}">
              <a16:creationId xmlns:a16="http://schemas.microsoft.com/office/drawing/2014/main" id="{00000000-0008-0000-0A00-000058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88</xdr:row>
      <xdr:rowOff>0</xdr:rowOff>
    </xdr:from>
    <xdr:ext cx="381000" cy="381000"/>
    <xdr:pic>
      <xdr:nvPicPr>
        <xdr:cNvPr id="89" name="image15.jpg">
          <a:extLst>
            <a:ext uri="{FF2B5EF4-FFF2-40B4-BE49-F238E27FC236}">
              <a16:creationId xmlns:a16="http://schemas.microsoft.com/office/drawing/2014/main" id="{00000000-0008-0000-0A00-000059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0</xdr:colOff>
      <xdr:row>89</xdr:row>
      <xdr:rowOff>0</xdr:rowOff>
    </xdr:from>
    <xdr:ext cx="381000" cy="381000"/>
    <xdr:pic>
      <xdr:nvPicPr>
        <xdr:cNvPr id="90" name="image20.png">
          <a:extLst>
            <a:ext uri="{FF2B5EF4-FFF2-40B4-BE49-F238E27FC236}">
              <a16:creationId xmlns:a16="http://schemas.microsoft.com/office/drawing/2014/main" id="{00000000-0008-0000-0A00-00005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90</xdr:row>
      <xdr:rowOff>0</xdr:rowOff>
    </xdr:from>
    <xdr:ext cx="371475" cy="381000"/>
    <xdr:pic>
      <xdr:nvPicPr>
        <xdr:cNvPr id="91" name="image164.png">
          <a:extLst>
            <a:ext uri="{FF2B5EF4-FFF2-40B4-BE49-F238E27FC236}">
              <a16:creationId xmlns:a16="http://schemas.microsoft.com/office/drawing/2014/main" id="{00000000-0008-0000-0A00-00005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91</xdr:row>
      <xdr:rowOff>0</xdr:rowOff>
    </xdr:from>
    <xdr:ext cx="381000" cy="381000"/>
    <xdr:pic>
      <xdr:nvPicPr>
        <xdr:cNvPr id="92" name="image20.png">
          <a:extLst>
            <a:ext uri="{FF2B5EF4-FFF2-40B4-BE49-F238E27FC236}">
              <a16:creationId xmlns:a16="http://schemas.microsoft.com/office/drawing/2014/main" id="{00000000-0008-0000-0A00-00005C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92</xdr:row>
      <xdr:rowOff>0</xdr:rowOff>
    </xdr:from>
    <xdr:ext cx="381000" cy="381000"/>
    <xdr:pic>
      <xdr:nvPicPr>
        <xdr:cNvPr id="93" name="image21.jpg">
          <a:extLst>
            <a:ext uri="{FF2B5EF4-FFF2-40B4-BE49-F238E27FC236}">
              <a16:creationId xmlns:a16="http://schemas.microsoft.com/office/drawing/2014/main" id="{00000000-0008-0000-0A00-00005D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93</xdr:row>
      <xdr:rowOff>0</xdr:rowOff>
    </xdr:from>
    <xdr:ext cx="381000" cy="381000"/>
    <xdr:pic>
      <xdr:nvPicPr>
        <xdr:cNvPr id="94" name="image15.jpg">
          <a:extLst>
            <a:ext uri="{FF2B5EF4-FFF2-40B4-BE49-F238E27FC236}">
              <a16:creationId xmlns:a16="http://schemas.microsoft.com/office/drawing/2014/main" id="{00000000-0008-0000-0A00-00005E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0</xdr:colOff>
      <xdr:row>94</xdr:row>
      <xdr:rowOff>0</xdr:rowOff>
    </xdr:from>
    <xdr:ext cx="381000" cy="381000"/>
    <xdr:pic>
      <xdr:nvPicPr>
        <xdr:cNvPr id="95" name="image20.png">
          <a:extLst>
            <a:ext uri="{FF2B5EF4-FFF2-40B4-BE49-F238E27FC236}">
              <a16:creationId xmlns:a16="http://schemas.microsoft.com/office/drawing/2014/main" id="{00000000-0008-0000-0A00-00005F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95</xdr:row>
      <xdr:rowOff>0</xdr:rowOff>
    </xdr:from>
    <xdr:ext cx="381000" cy="381000"/>
    <xdr:pic>
      <xdr:nvPicPr>
        <xdr:cNvPr id="96" name="image21.jpg">
          <a:extLst>
            <a:ext uri="{FF2B5EF4-FFF2-40B4-BE49-F238E27FC236}">
              <a16:creationId xmlns:a16="http://schemas.microsoft.com/office/drawing/2014/main" id="{00000000-0008-0000-0A00-000060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2</xdr:col>
      <xdr:colOff>0</xdr:colOff>
      <xdr:row>96</xdr:row>
      <xdr:rowOff>0</xdr:rowOff>
    </xdr:from>
    <xdr:ext cx="381000" cy="381000"/>
    <xdr:pic>
      <xdr:nvPicPr>
        <xdr:cNvPr id="97" name="image15.jpg">
          <a:extLst>
            <a:ext uri="{FF2B5EF4-FFF2-40B4-BE49-F238E27FC236}">
              <a16:creationId xmlns:a16="http://schemas.microsoft.com/office/drawing/2014/main" id="{00000000-0008-0000-0A00-000061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2</xdr:col>
      <xdr:colOff>0</xdr:colOff>
      <xdr:row>97</xdr:row>
      <xdr:rowOff>0</xdr:rowOff>
    </xdr:from>
    <xdr:ext cx="381000" cy="381000"/>
    <xdr:pic>
      <xdr:nvPicPr>
        <xdr:cNvPr id="98" name="image20.png">
          <a:extLst>
            <a:ext uri="{FF2B5EF4-FFF2-40B4-BE49-F238E27FC236}">
              <a16:creationId xmlns:a16="http://schemas.microsoft.com/office/drawing/2014/main" id="{00000000-0008-0000-0A00-000062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98</xdr:row>
      <xdr:rowOff>0</xdr:rowOff>
    </xdr:from>
    <xdr:ext cx="381000" cy="381000"/>
    <xdr:pic>
      <xdr:nvPicPr>
        <xdr:cNvPr id="99" name="image153.png">
          <a:extLst>
            <a:ext uri="{FF2B5EF4-FFF2-40B4-BE49-F238E27FC236}">
              <a16:creationId xmlns:a16="http://schemas.microsoft.com/office/drawing/2014/main" id="{00000000-0008-0000-0A00-00006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99</xdr:row>
      <xdr:rowOff>0</xdr:rowOff>
    </xdr:from>
    <xdr:ext cx="381000" cy="381000"/>
    <xdr:pic>
      <xdr:nvPicPr>
        <xdr:cNvPr id="100" name="image79.jpg">
          <a:extLst>
            <a:ext uri="{FF2B5EF4-FFF2-40B4-BE49-F238E27FC236}">
              <a16:creationId xmlns:a16="http://schemas.microsoft.com/office/drawing/2014/main" id="{00000000-0008-0000-0A00-000064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2</xdr:col>
      <xdr:colOff>0</xdr:colOff>
      <xdr:row>100</xdr:row>
      <xdr:rowOff>0</xdr:rowOff>
    </xdr:from>
    <xdr:ext cx="381000" cy="381000"/>
    <xdr:pic>
      <xdr:nvPicPr>
        <xdr:cNvPr id="101" name="image153.png">
          <a:extLst>
            <a:ext uri="{FF2B5EF4-FFF2-40B4-BE49-F238E27FC236}">
              <a16:creationId xmlns:a16="http://schemas.microsoft.com/office/drawing/2014/main" id="{00000000-0008-0000-0A00-00006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101</xdr:row>
      <xdr:rowOff>0</xdr:rowOff>
    </xdr:from>
    <xdr:ext cx="381000" cy="381000"/>
    <xdr:pic>
      <xdr:nvPicPr>
        <xdr:cNvPr id="102" name="image53.jpg">
          <a:extLst>
            <a:ext uri="{FF2B5EF4-FFF2-40B4-BE49-F238E27FC236}">
              <a16:creationId xmlns:a16="http://schemas.microsoft.com/office/drawing/2014/main" id="{00000000-0008-0000-0A00-000066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102</xdr:row>
      <xdr:rowOff>0</xdr:rowOff>
    </xdr:from>
    <xdr:ext cx="381000" cy="381000"/>
    <xdr:pic>
      <xdr:nvPicPr>
        <xdr:cNvPr id="103" name="image256.jpg">
          <a:extLst>
            <a:ext uri="{FF2B5EF4-FFF2-40B4-BE49-F238E27FC236}">
              <a16:creationId xmlns:a16="http://schemas.microsoft.com/office/drawing/2014/main" id="{00000000-0008-0000-0A00-000067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103</xdr:row>
      <xdr:rowOff>0</xdr:rowOff>
    </xdr:from>
    <xdr:ext cx="381000" cy="381000"/>
    <xdr:pic>
      <xdr:nvPicPr>
        <xdr:cNvPr id="104" name="image1.jpg">
          <a:extLst>
            <a:ext uri="{FF2B5EF4-FFF2-40B4-BE49-F238E27FC236}">
              <a16:creationId xmlns:a16="http://schemas.microsoft.com/office/drawing/2014/main" id="{00000000-0008-0000-0A00-000068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0</xdr:colOff>
      <xdr:row>104</xdr:row>
      <xdr:rowOff>0</xdr:rowOff>
    </xdr:from>
    <xdr:ext cx="381000" cy="381000"/>
    <xdr:pic>
      <xdr:nvPicPr>
        <xdr:cNvPr id="105" name="image53.jpg">
          <a:extLst>
            <a:ext uri="{FF2B5EF4-FFF2-40B4-BE49-F238E27FC236}">
              <a16:creationId xmlns:a16="http://schemas.microsoft.com/office/drawing/2014/main" id="{00000000-0008-0000-0A00-000069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105</xdr:row>
      <xdr:rowOff>0</xdr:rowOff>
    </xdr:from>
    <xdr:ext cx="381000" cy="381000"/>
    <xdr:pic>
      <xdr:nvPicPr>
        <xdr:cNvPr id="106" name="image256.jpg">
          <a:extLst>
            <a:ext uri="{FF2B5EF4-FFF2-40B4-BE49-F238E27FC236}">
              <a16:creationId xmlns:a16="http://schemas.microsoft.com/office/drawing/2014/main" id="{00000000-0008-0000-0A00-00006A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106</xdr:row>
      <xdr:rowOff>0</xdr:rowOff>
    </xdr:from>
    <xdr:ext cx="381000" cy="381000"/>
    <xdr:pic>
      <xdr:nvPicPr>
        <xdr:cNvPr id="107" name="image153.png">
          <a:extLst>
            <a:ext uri="{FF2B5EF4-FFF2-40B4-BE49-F238E27FC236}">
              <a16:creationId xmlns:a16="http://schemas.microsoft.com/office/drawing/2014/main" id="{00000000-0008-0000-0A00-00006B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107</xdr:row>
      <xdr:rowOff>0</xdr:rowOff>
    </xdr:from>
    <xdr:ext cx="381000" cy="381000"/>
    <xdr:pic>
      <xdr:nvPicPr>
        <xdr:cNvPr id="108" name="image1.jpg">
          <a:extLst>
            <a:ext uri="{FF2B5EF4-FFF2-40B4-BE49-F238E27FC236}">
              <a16:creationId xmlns:a16="http://schemas.microsoft.com/office/drawing/2014/main" id="{00000000-0008-0000-0A00-00006C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0</xdr:colOff>
      <xdr:row>108</xdr:row>
      <xdr:rowOff>0</xdr:rowOff>
    </xdr:from>
    <xdr:ext cx="381000" cy="381000"/>
    <xdr:pic>
      <xdr:nvPicPr>
        <xdr:cNvPr id="109" name="image188.jpg">
          <a:extLst>
            <a:ext uri="{FF2B5EF4-FFF2-40B4-BE49-F238E27FC236}">
              <a16:creationId xmlns:a16="http://schemas.microsoft.com/office/drawing/2014/main" id="{00000000-0008-0000-0A00-00006D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0</xdr:colOff>
      <xdr:row>109</xdr:row>
      <xdr:rowOff>0</xdr:rowOff>
    </xdr:from>
    <xdr:ext cx="381000" cy="381000"/>
    <xdr:pic>
      <xdr:nvPicPr>
        <xdr:cNvPr id="110" name="image194.jpg">
          <a:extLst>
            <a:ext uri="{FF2B5EF4-FFF2-40B4-BE49-F238E27FC236}">
              <a16:creationId xmlns:a16="http://schemas.microsoft.com/office/drawing/2014/main" id="{00000000-0008-0000-0A00-00006E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110</xdr:row>
      <xdr:rowOff>0</xdr:rowOff>
    </xdr:from>
    <xdr:ext cx="381000" cy="381000"/>
    <xdr:pic>
      <xdr:nvPicPr>
        <xdr:cNvPr id="111" name="image1.jpg">
          <a:extLst>
            <a:ext uri="{FF2B5EF4-FFF2-40B4-BE49-F238E27FC236}">
              <a16:creationId xmlns:a16="http://schemas.microsoft.com/office/drawing/2014/main" id="{00000000-0008-0000-0A00-00006F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0</xdr:colOff>
      <xdr:row>111</xdr:row>
      <xdr:rowOff>0</xdr:rowOff>
    </xdr:from>
    <xdr:ext cx="381000" cy="381000"/>
    <xdr:pic>
      <xdr:nvPicPr>
        <xdr:cNvPr id="112" name="image188.jpg">
          <a:extLst>
            <a:ext uri="{FF2B5EF4-FFF2-40B4-BE49-F238E27FC236}">
              <a16:creationId xmlns:a16="http://schemas.microsoft.com/office/drawing/2014/main" id="{00000000-0008-0000-0A00-000070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0</xdr:colOff>
      <xdr:row>112</xdr:row>
      <xdr:rowOff>0</xdr:rowOff>
    </xdr:from>
    <xdr:ext cx="381000" cy="381000"/>
    <xdr:pic>
      <xdr:nvPicPr>
        <xdr:cNvPr id="113" name="image194.jpg">
          <a:extLst>
            <a:ext uri="{FF2B5EF4-FFF2-40B4-BE49-F238E27FC236}">
              <a16:creationId xmlns:a16="http://schemas.microsoft.com/office/drawing/2014/main" id="{00000000-0008-0000-0A00-000071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2</xdr:col>
      <xdr:colOff>0</xdr:colOff>
      <xdr:row>113</xdr:row>
      <xdr:rowOff>0</xdr:rowOff>
    </xdr:from>
    <xdr:ext cx="381000" cy="381000"/>
    <xdr:pic>
      <xdr:nvPicPr>
        <xdr:cNvPr id="114" name="image153.png">
          <a:extLst>
            <a:ext uri="{FF2B5EF4-FFF2-40B4-BE49-F238E27FC236}">
              <a16:creationId xmlns:a16="http://schemas.microsoft.com/office/drawing/2014/main" id="{00000000-0008-0000-0A00-00007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114</xdr:row>
      <xdr:rowOff>0</xdr:rowOff>
    </xdr:from>
    <xdr:ext cx="381000" cy="381000"/>
    <xdr:pic>
      <xdr:nvPicPr>
        <xdr:cNvPr id="115" name="image180.jpg">
          <a:extLst>
            <a:ext uri="{FF2B5EF4-FFF2-40B4-BE49-F238E27FC236}">
              <a16:creationId xmlns:a16="http://schemas.microsoft.com/office/drawing/2014/main" id="{00000000-0008-0000-0A00-000073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115</xdr:row>
      <xdr:rowOff>0</xdr:rowOff>
    </xdr:from>
    <xdr:ext cx="381000" cy="381000"/>
    <xdr:pic>
      <xdr:nvPicPr>
        <xdr:cNvPr id="116" name="image1.jpg">
          <a:extLst>
            <a:ext uri="{FF2B5EF4-FFF2-40B4-BE49-F238E27FC236}">
              <a16:creationId xmlns:a16="http://schemas.microsoft.com/office/drawing/2014/main" id="{00000000-0008-0000-0A00-000074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0</xdr:colOff>
      <xdr:row>116</xdr:row>
      <xdr:rowOff>0</xdr:rowOff>
    </xdr:from>
    <xdr:ext cx="381000" cy="381000"/>
    <xdr:pic>
      <xdr:nvPicPr>
        <xdr:cNvPr id="117" name="image83.jpg">
          <a:extLst>
            <a:ext uri="{FF2B5EF4-FFF2-40B4-BE49-F238E27FC236}">
              <a16:creationId xmlns:a16="http://schemas.microsoft.com/office/drawing/2014/main" id="{00000000-0008-0000-0A00-000075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2</xdr:col>
      <xdr:colOff>0</xdr:colOff>
      <xdr:row>117</xdr:row>
      <xdr:rowOff>0</xdr:rowOff>
    </xdr:from>
    <xdr:ext cx="381000" cy="381000"/>
    <xdr:pic>
      <xdr:nvPicPr>
        <xdr:cNvPr id="118" name="image153.png">
          <a:extLst>
            <a:ext uri="{FF2B5EF4-FFF2-40B4-BE49-F238E27FC236}">
              <a16:creationId xmlns:a16="http://schemas.microsoft.com/office/drawing/2014/main" id="{00000000-0008-0000-0A00-00007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118</xdr:row>
      <xdr:rowOff>0</xdr:rowOff>
    </xdr:from>
    <xdr:ext cx="381000" cy="381000"/>
    <xdr:pic>
      <xdr:nvPicPr>
        <xdr:cNvPr id="119" name="image1.jpg">
          <a:extLst>
            <a:ext uri="{FF2B5EF4-FFF2-40B4-BE49-F238E27FC236}">
              <a16:creationId xmlns:a16="http://schemas.microsoft.com/office/drawing/2014/main" id="{00000000-0008-0000-0A00-000077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0</xdr:colOff>
      <xdr:row>119</xdr:row>
      <xdr:rowOff>0</xdr:rowOff>
    </xdr:from>
    <xdr:ext cx="381000" cy="381000"/>
    <xdr:pic>
      <xdr:nvPicPr>
        <xdr:cNvPr id="120" name="image14.jpg">
          <a:extLst>
            <a:ext uri="{FF2B5EF4-FFF2-40B4-BE49-F238E27FC236}">
              <a16:creationId xmlns:a16="http://schemas.microsoft.com/office/drawing/2014/main" id="{00000000-0008-0000-0A00-000078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120</xdr:row>
      <xdr:rowOff>0</xdr:rowOff>
    </xdr:from>
    <xdr:ext cx="381000" cy="381000"/>
    <xdr:pic>
      <xdr:nvPicPr>
        <xdr:cNvPr id="121" name="image26.jpg">
          <a:extLst>
            <a:ext uri="{FF2B5EF4-FFF2-40B4-BE49-F238E27FC236}">
              <a16:creationId xmlns:a16="http://schemas.microsoft.com/office/drawing/2014/main" id="{00000000-0008-0000-0A00-000079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121</xdr:row>
      <xdr:rowOff>0</xdr:rowOff>
    </xdr:from>
    <xdr:ext cx="381000" cy="381000"/>
    <xdr:pic>
      <xdr:nvPicPr>
        <xdr:cNvPr id="122" name="image20.png">
          <a:extLst>
            <a:ext uri="{FF2B5EF4-FFF2-40B4-BE49-F238E27FC236}">
              <a16:creationId xmlns:a16="http://schemas.microsoft.com/office/drawing/2014/main" id="{00000000-0008-0000-0A00-00007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122</xdr:row>
      <xdr:rowOff>0</xdr:rowOff>
    </xdr:from>
    <xdr:ext cx="371475" cy="381000"/>
    <xdr:pic>
      <xdr:nvPicPr>
        <xdr:cNvPr id="123" name="image164.png">
          <a:extLst>
            <a:ext uri="{FF2B5EF4-FFF2-40B4-BE49-F238E27FC236}">
              <a16:creationId xmlns:a16="http://schemas.microsoft.com/office/drawing/2014/main" id="{00000000-0008-0000-0A00-00007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123</xdr:row>
      <xdr:rowOff>0</xdr:rowOff>
    </xdr:from>
    <xdr:ext cx="381000" cy="381000"/>
    <xdr:pic>
      <xdr:nvPicPr>
        <xdr:cNvPr id="124" name="image20.png">
          <a:extLst>
            <a:ext uri="{FF2B5EF4-FFF2-40B4-BE49-F238E27FC236}">
              <a16:creationId xmlns:a16="http://schemas.microsoft.com/office/drawing/2014/main" id="{00000000-0008-0000-0A00-00007C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124</xdr:row>
      <xdr:rowOff>0</xdr:rowOff>
    </xdr:from>
    <xdr:ext cx="381000" cy="381000"/>
    <xdr:pic>
      <xdr:nvPicPr>
        <xdr:cNvPr id="125" name="image14.jpg">
          <a:extLst>
            <a:ext uri="{FF2B5EF4-FFF2-40B4-BE49-F238E27FC236}">
              <a16:creationId xmlns:a16="http://schemas.microsoft.com/office/drawing/2014/main" id="{00000000-0008-0000-0A00-00007D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125</xdr:row>
      <xdr:rowOff>0</xdr:rowOff>
    </xdr:from>
    <xdr:ext cx="381000" cy="381000"/>
    <xdr:pic>
      <xdr:nvPicPr>
        <xdr:cNvPr id="126" name="image26.jpg">
          <a:extLst>
            <a:ext uri="{FF2B5EF4-FFF2-40B4-BE49-F238E27FC236}">
              <a16:creationId xmlns:a16="http://schemas.microsoft.com/office/drawing/2014/main" id="{00000000-0008-0000-0A00-00007E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126</xdr:row>
      <xdr:rowOff>0</xdr:rowOff>
    </xdr:from>
    <xdr:ext cx="381000" cy="381000"/>
    <xdr:pic>
      <xdr:nvPicPr>
        <xdr:cNvPr id="127" name="image20.png">
          <a:extLst>
            <a:ext uri="{FF2B5EF4-FFF2-40B4-BE49-F238E27FC236}">
              <a16:creationId xmlns:a16="http://schemas.microsoft.com/office/drawing/2014/main" id="{00000000-0008-0000-0A00-00007F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127</xdr:row>
      <xdr:rowOff>0</xdr:rowOff>
    </xdr:from>
    <xdr:ext cx="381000" cy="381000"/>
    <xdr:pic>
      <xdr:nvPicPr>
        <xdr:cNvPr id="128" name="image14.jpg">
          <a:extLst>
            <a:ext uri="{FF2B5EF4-FFF2-40B4-BE49-F238E27FC236}">
              <a16:creationId xmlns:a16="http://schemas.microsoft.com/office/drawing/2014/main" id="{00000000-0008-0000-0A00-000080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128</xdr:row>
      <xdr:rowOff>0</xdr:rowOff>
    </xdr:from>
    <xdr:ext cx="381000" cy="381000"/>
    <xdr:pic>
      <xdr:nvPicPr>
        <xdr:cNvPr id="129" name="image26.jpg">
          <a:extLst>
            <a:ext uri="{FF2B5EF4-FFF2-40B4-BE49-F238E27FC236}">
              <a16:creationId xmlns:a16="http://schemas.microsoft.com/office/drawing/2014/main" id="{00000000-0008-0000-0A00-000081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129</xdr:row>
      <xdr:rowOff>0</xdr:rowOff>
    </xdr:from>
    <xdr:ext cx="381000" cy="381000"/>
    <xdr:pic>
      <xdr:nvPicPr>
        <xdr:cNvPr id="130" name="image20.png">
          <a:extLst>
            <a:ext uri="{FF2B5EF4-FFF2-40B4-BE49-F238E27FC236}">
              <a16:creationId xmlns:a16="http://schemas.microsoft.com/office/drawing/2014/main" id="{00000000-0008-0000-0A00-000082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130</xdr:row>
      <xdr:rowOff>0</xdr:rowOff>
    </xdr:from>
    <xdr:ext cx="381000" cy="381000"/>
    <xdr:pic>
      <xdr:nvPicPr>
        <xdr:cNvPr id="131" name="image14.jpg">
          <a:extLst>
            <a:ext uri="{FF2B5EF4-FFF2-40B4-BE49-F238E27FC236}">
              <a16:creationId xmlns:a16="http://schemas.microsoft.com/office/drawing/2014/main" id="{00000000-0008-0000-0A00-00008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131</xdr:row>
      <xdr:rowOff>0</xdr:rowOff>
    </xdr:from>
    <xdr:ext cx="381000" cy="381000"/>
    <xdr:pic>
      <xdr:nvPicPr>
        <xdr:cNvPr id="132" name="image14.jpg">
          <a:extLst>
            <a:ext uri="{FF2B5EF4-FFF2-40B4-BE49-F238E27FC236}">
              <a16:creationId xmlns:a16="http://schemas.microsoft.com/office/drawing/2014/main" id="{00000000-0008-0000-0A00-00008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132</xdr:row>
      <xdr:rowOff>0</xdr:rowOff>
    </xdr:from>
    <xdr:ext cx="381000" cy="381000"/>
    <xdr:pic>
      <xdr:nvPicPr>
        <xdr:cNvPr id="133" name="image26.jpg">
          <a:extLst>
            <a:ext uri="{FF2B5EF4-FFF2-40B4-BE49-F238E27FC236}">
              <a16:creationId xmlns:a16="http://schemas.microsoft.com/office/drawing/2014/main" id="{00000000-0008-0000-0A00-00008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133</xdr:row>
      <xdr:rowOff>0</xdr:rowOff>
    </xdr:from>
    <xdr:ext cx="381000" cy="381000"/>
    <xdr:pic>
      <xdr:nvPicPr>
        <xdr:cNvPr id="134" name="image20.png">
          <a:extLst>
            <a:ext uri="{FF2B5EF4-FFF2-40B4-BE49-F238E27FC236}">
              <a16:creationId xmlns:a16="http://schemas.microsoft.com/office/drawing/2014/main" id="{00000000-0008-0000-0A00-00008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134</xdr:row>
      <xdr:rowOff>0</xdr:rowOff>
    </xdr:from>
    <xdr:ext cx="371475" cy="381000"/>
    <xdr:pic>
      <xdr:nvPicPr>
        <xdr:cNvPr id="135" name="image164.png">
          <a:extLst>
            <a:ext uri="{FF2B5EF4-FFF2-40B4-BE49-F238E27FC236}">
              <a16:creationId xmlns:a16="http://schemas.microsoft.com/office/drawing/2014/main" id="{00000000-0008-0000-0A00-000087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135</xdr:row>
      <xdr:rowOff>0</xdr:rowOff>
    </xdr:from>
    <xdr:ext cx="381000" cy="381000"/>
    <xdr:pic>
      <xdr:nvPicPr>
        <xdr:cNvPr id="136" name="image20.png">
          <a:extLst>
            <a:ext uri="{FF2B5EF4-FFF2-40B4-BE49-F238E27FC236}">
              <a16:creationId xmlns:a16="http://schemas.microsoft.com/office/drawing/2014/main" id="{00000000-0008-0000-0A00-00008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136</xdr:row>
      <xdr:rowOff>0</xdr:rowOff>
    </xdr:from>
    <xdr:ext cx="381000" cy="381000"/>
    <xdr:pic>
      <xdr:nvPicPr>
        <xdr:cNvPr id="137" name="image14.jpg">
          <a:extLst>
            <a:ext uri="{FF2B5EF4-FFF2-40B4-BE49-F238E27FC236}">
              <a16:creationId xmlns:a16="http://schemas.microsoft.com/office/drawing/2014/main" id="{00000000-0008-0000-0A00-000089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137</xdr:row>
      <xdr:rowOff>0</xdr:rowOff>
    </xdr:from>
    <xdr:ext cx="381000" cy="381000"/>
    <xdr:pic>
      <xdr:nvPicPr>
        <xdr:cNvPr id="138" name="image26.jpg">
          <a:extLst>
            <a:ext uri="{FF2B5EF4-FFF2-40B4-BE49-F238E27FC236}">
              <a16:creationId xmlns:a16="http://schemas.microsoft.com/office/drawing/2014/main" id="{00000000-0008-0000-0A00-00008A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138</xdr:row>
      <xdr:rowOff>0</xdr:rowOff>
    </xdr:from>
    <xdr:ext cx="381000" cy="381000"/>
    <xdr:pic>
      <xdr:nvPicPr>
        <xdr:cNvPr id="139" name="image20.png">
          <a:extLst>
            <a:ext uri="{FF2B5EF4-FFF2-40B4-BE49-F238E27FC236}">
              <a16:creationId xmlns:a16="http://schemas.microsoft.com/office/drawing/2014/main" id="{00000000-0008-0000-0A00-00008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139</xdr:row>
      <xdr:rowOff>0</xdr:rowOff>
    </xdr:from>
    <xdr:ext cx="381000" cy="381000"/>
    <xdr:pic>
      <xdr:nvPicPr>
        <xdr:cNvPr id="140" name="image14.jpg">
          <a:extLst>
            <a:ext uri="{FF2B5EF4-FFF2-40B4-BE49-F238E27FC236}">
              <a16:creationId xmlns:a16="http://schemas.microsoft.com/office/drawing/2014/main" id="{00000000-0008-0000-0A00-00008C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140</xdr:row>
      <xdr:rowOff>0</xdr:rowOff>
    </xdr:from>
    <xdr:ext cx="381000" cy="381000"/>
    <xdr:pic>
      <xdr:nvPicPr>
        <xdr:cNvPr id="141" name="image26.jpg">
          <a:extLst>
            <a:ext uri="{FF2B5EF4-FFF2-40B4-BE49-F238E27FC236}">
              <a16:creationId xmlns:a16="http://schemas.microsoft.com/office/drawing/2014/main" id="{00000000-0008-0000-0A00-00008D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141</xdr:row>
      <xdr:rowOff>0</xdr:rowOff>
    </xdr:from>
    <xdr:ext cx="381000" cy="381000"/>
    <xdr:pic>
      <xdr:nvPicPr>
        <xdr:cNvPr id="142" name="image20.png">
          <a:extLst>
            <a:ext uri="{FF2B5EF4-FFF2-40B4-BE49-F238E27FC236}">
              <a16:creationId xmlns:a16="http://schemas.microsoft.com/office/drawing/2014/main" id="{00000000-0008-0000-0A00-00008E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142</xdr:row>
      <xdr:rowOff>0</xdr:rowOff>
    </xdr:from>
    <xdr:ext cx="381000" cy="381000"/>
    <xdr:pic>
      <xdr:nvPicPr>
        <xdr:cNvPr id="143" name="image14.jpg">
          <a:extLst>
            <a:ext uri="{FF2B5EF4-FFF2-40B4-BE49-F238E27FC236}">
              <a16:creationId xmlns:a16="http://schemas.microsoft.com/office/drawing/2014/main" id="{00000000-0008-0000-0A00-00008F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143</xdr:row>
      <xdr:rowOff>0</xdr:rowOff>
    </xdr:from>
    <xdr:ext cx="381000" cy="381000"/>
    <xdr:pic>
      <xdr:nvPicPr>
        <xdr:cNvPr id="144" name="image153.png">
          <a:extLst>
            <a:ext uri="{FF2B5EF4-FFF2-40B4-BE49-F238E27FC236}">
              <a16:creationId xmlns:a16="http://schemas.microsoft.com/office/drawing/2014/main" id="{00000000-0008-0000-0A00-000090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144</xdr:row>
      <xdr:rowOff>0</xdr:rowOff>
    </xdr:from>
    <xdr:ext cx="381000" cy="381000"/>
    <xdr:pic>
      <xdr:nvPicPr>
        <xdr:cNvPr id="145" name="image14.jpg">
          <a:extLst>
            <a:ext uri="{FF2B5EF4-FFF2-40B4-BE49-F238E27FC236}">
              <a16:creationId xmlns:a16="http://schemas.microsoft.com/office/drawing/2014/main" id="{00000000-0008-0000-0A00-000091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145</xdr:row>
      <xdr:rowOff>0</xdr:rowOff>
    </xdr:from>
    <xdr:ext cx="381000" cy="381000"/>
    <xdr:pic>
      <xdr:nvPicPr>
        <xdr:cNvPr id="146" name="image18.jpg">
          <a:extLst>
            <a:ext uri="{FF2B5EF4-FFF2-40B4-BE49-F238E27FC236}">
              <a16:creationId xmlns:a16="http://schemas.microsoft.com/office/drawing/2014/main" id="{00000000-0008-0000-0A00-00009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146</xdr:row>
      <xdr:rowOff>0</xdr:rowOff>
    </xdr:from>
    <xdr:ext cx="381000" cy="381000"/>
    <xdr:pic>
      <xdr:nvPicPr>
        <xdr:cNvPr id="147" name="image20.png">
          <a:extLst>
            <a:ext uri="{FF2B5EF4-FFF2-40B4-BE49-F238E27FC236}">
              <a16:creationId xmlns:a16="http://schemas.microsoft.com/office/drawing/2014/main" id="{00000000-0008-0000-0A00-000093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147</xdr:row>
      <xdr:rowOff>0</xdr:rowOff>
    </xdr:from>
    <xdr:ext cx="381000" cy="381000"/>
    <xdr:pic>
      <xdr:nvPicPr>
        <xdr:cNvPr id="148" name="image14.jpg">
          <a:extLst>
            <a:ext uri="{FF2B5EF4-FFF2-40B4-BE49-F238E27FC236}">
              <a16:creationId xmlns:a16="http://schemas.microsoft.com/office/drawing/2014/main" id="{00000000-0008-0000-0A00-000094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148</xdr:row>
      <xdr:rowOff>0</xdr:rowOff>
    </xdr:from>
    <xdr:ext cx="381000" cy="381000"/>
    <xdr:pic>
      <xdr:nvPicPr>
        <xdr:cNvPr id="149" name="image18.jpg">
          <a:extLst>
            <a:ext uri="{FF2B5EF4-FFF2-40B4-BE49-F238E27FC236}">
              <a16:creationId xmlns:a16="http://schemas.microsoft.com/office/drawing/2014/main" id="{00000000-0008-0000-0A00-000095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149</xdr:row>
      <xdr:rowOff>0</xdr:rowOff>
    </xdr:from>
    <xdr:ext cx="381000" cy="381000"/>
    <xdr:pic>
      <xdr:nvPicPr>
        <xdr:cNvPr id="150" name="image20.png">
          <a:extLst>
            <a:ext uri="{FF2B5EF4-FFF2-40B4-BE49-F238E27FC236}">
              <a16:creationId xmlns:a16="http://schemas.microsoft.com/office/drawing/2014/main" id="{00000000-0008-0000-0A00-00009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150</xdr:row>
      <xdr:rowOff>0</xdr:rowOff>
    </xdr:from>
    <xdr:ext cx="381000" cy="381000"/>
    <xdr:pic>
      <xdr:nvPicPr>
        <xdr:cNvPr id="151" name="image14.jpg">
          <a:extLst>
            <a:ext uri="{FF2B5EF4-FFF2-40B4-BE49-F238E27FC236}">
              <a16:creationId xmlns:a16="http://schemas.microsoft.com/office/drawing/2014/main" id="{00000000-0008-0000-0A00-00009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151</xdr:row>
      <xdr:rowOff>0</xdr:rowOff>
    </xdr:from>
    <xdr:ext cx="381000" cy="381000"/>
    <xdr:pic>
      <xdr:nvPicPr>
        <xdr:cNvPr id="152" name="image18.jpg">
          <a:extLst>
            <a:ext uri="{FF2B5EF4-FFF2-40B4-BE49-F238E27FC236}">
              <a16:creationId xmlns:a16="http://schemas.microsoft.com/office/drawing/2014/main" id="{00000000-0008-0000-0A00-000098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152</xdr:row>
      <xdr:rowOff>0</xdr:rowOff>
    </xdr:from>
    <xdr:ext cx="381000" cy="381000"/>
    <xdr:pic>
      <xdr:nvPicPr>
        <xdr:cNvPr id="153" name="image20.png">
          <a:extLst>
            <a:ext uri="{FF2B5EF4-FFF2-40B4-BE49-F238E27FC236}">
              <a16:creationId xmlns:a16="http://schemas.microsoft.com/office/drawing/2014/main" id="{00000000-0008-0000-0A00-000099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153</xdr:row>
      <xdr:rowOff>0</xdr:rowOff>
    </xdr:from>
    <xdr:ext cx="381000" cy="381000"/>
    <xdr:pic>
      <xdr:nvPicPr>
        <xdr:cNvPr id="154" name="image14.jpg">
          <a:extLst>
            <a:ext uri="{FF2B5EF4-FFF2-40B4-BE49-F238E27FC236}">
              <a16:creationId xmlns:a16="http://schemas.microsoft.com/office/drawing/2014/main" id="{00000000-0008-0000-0A00-00009A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154</xdr:row>
      <xdr:rowOff>0</xdr:rowOff>
    </xdr:from>
    <xdr:ext cx="381000" cy="381000"/>
    <xdr:pic>
      <xdr:nvPicPr>
        <xdr:cNvPr id="155" name="image18.jpg">
          <a:extLst>
            <a:ext uri="{FF2B5EF4-FFF2-40B4-BE49-F238E27FC236}">
              <a16:creationId xmlns:a16="http://schemas.microsoft.com/office/drawing/2014/main" id="{00000000-0008-0000-0A00-00009B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155</xdr:row>
      <xdr:rowOff>0</xdr:rowOff>
    </xdr:from>
    <xdr:ext cx="381000" cy="381000"/>
    <xdr:pic>
      <xdr:nvPicPr>
        <xdr:cNvPr id="156" name="image20.png">
          <a:extLst>
            <a:ext uri="{FF2B5EF4-FFF2-40B4-BE49-F238E27FC236}">
              <a16:creationId xmlns:a16="http://schemas.microsoft.com/office/drawing/2014/main" id="{00000000-0008-0000-0A00-00009C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156</xdr:row>
      <xdr:rowOff>0</xdr:rowOff>
    </xdr:from>
    <xdr:ext cx="381000" cy="381000"/>
    <xdr:pic>
      <xdr:nvPicPr>
        <xdr:cNvPr id="157" name="image14.jpg">
          <a:extLst>
            <a:ext uri="{FF2B5EF4-FFF2-40B4-BE49-F238E27FC236}">
              <a16:creationId xmlns:a16="http://schemas.microsoft.com/office/drawing/2014/main" id="{00000000-0008-0000-0A00-00009D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157</xdr:row>
      <xdr:rowOff>0</xdr:rowOff>
    </xdr:from>
    <xdr:ext cx="381000" cy="381000"/>
    <xdr:pic>
      <xdr:nvPicPr>
        <xdr:cNvPr id="158" name="image153.png">
          <a:extLst>
            <a:ext uri="{FF2B5EF4-FFF2-40B4-BE49-F238E27FC236}">
              <a16:creationId xmlns:a16="http://schemas.microsoft.com/office/drawing/2014/main" id="{00000000-0008-0000-0A00-00009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158</xdr:row>
      <xdr:rowOff>0</xdr:rowOff>
    </xdr:from>
    <xdr:ext cx="381000" cy="381000"/>
    <xdr:pic>
      <xdr:nvPicPr>
        <xdr:cNvPr id="159" name="image140.png">
          <a:extLst>
            <a:ext uri="{FF2B5EF4-FFF2-40B4-BE49-F238E27FC236}">
              <a16:creationId xmlns:a16="http://schemas.microsoft.com/office/drawing/2014/main" id="{00000000-0008-0000-0A00-00009F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159</xdr:row>
      <xdr:rowOff>0</xdr:rowOff>
    </xdr:from>
    <xdr:ext cx="381000" cy="381000"/>
    <xdr:pic>
      <xdr:nvPicPr>
        <xdr:cNvPr id="160" name="image109.jpg">
          <a:extLst>
            <a:ext uri="{FF2B5EF4-FFF2-40B4-BE49-F238E27FC236}">
              <a16:creationId xmlns:a16="http://schemas.microsoft.com/office/drawing/2014/main" id="{00000000-0008-0000-0A00-0000A0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160</xdr:row>
      <xdr:rowOff>0</xdr:rowOff>
    </xdr:from>
    <xdr:ext cx="381000" cy="381000"/>
    <xdr:pic>
      <xdr:nvPicPr>
        <xdr:cNvPr id="161" name="image140.png">
          <a:extLst>
            <a:ext uri="{FF2B5EF4-FFF2-40B4-BE49-F238E27FC236}">
              <a16:creationId xmlns:a16="http://schemas.microsoft.com/office/drawing/2014/main" id="{00000000-0008-0000-0A00-0000A1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2</xdr:col>
      <xdr:colOff>0</xdr:colOff>
      <xdr:row>161</xdr:row>
      <xdr:rowOff>0</xdr:rowOff>
    </xdr:from>
    <xdr:ext cx="381000" cy="381000"/>
    <xdr:pic>
      <xdr:nvPicPr>
        <xdr:cNvPr id="162" name="image109.jpg">
          <a:extLst>
            <a:ext uri="{FF2B5EF4-FFF2-40B4-BE49-F238E27FC236}">
              <a16:creationId xmlns:a16="http://schemas.microsoft.com/office/drawing/2014/main" id="{00000000-0008-0000-0A00-0000A2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162</xdr:row>
      <xdr:rowOff>0</xdr:rowOff>
    </xdr:from>
    <xdr:ext cx="381000" cy="381000"/>
    <xdr:pic>
      <xdr:nvPicPr>
        <xdr:cNvPr id="163" name="image153.png">
          <a:extLst>
            <a:ext uri="{FF2B5EF4-FFF2-40B4-BE49-F238E27FC236}">
              <a16:creationId xmlns:a16="http://schemas.microsoft.com/office/drawing/2014/main" id="{00000000-0008-0000-0A00-0000A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163</xdr:row>
      <xdr:rowOff>0</xdr:rowOff>
    </xdr:from>
    <xdr:ext cx="381000" cy="381000"/>
    <xdr:pic>
      <xdr:nvPicPr>
        <xdr:cNvPr id="164" name="image58.jpg">
          <a:extLst>
            <a:ext uri="{FF2B5EF4-FFF2-40B4-BE49-F238E27FC236}">
              <a16:creationId xmlns:a16="http://schemas.microsoft.com/office/drawing/2014/main" id="{00000000-0008-0000-0A00-0000A4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2</xdr:col>
      <xdr:colOff>0</xdr:colOff>
      <xdr:row>164</xdr:row>
      <xdr:rowOff>0</xdr:rowOff>
    </xdr:from>
    <xdr:ext cx="381000" cy="381000"/>
    <xdr:pic>
      <xdr:nvPicPr>
        <xdr:cNvPr id="165" name="image153.png">
          <a:extLst>
            <a:ext uri="{FF2B5EF4-FFF2-40B4-BE49-F238E27FC236}">
              <a16:creationId xmlns:a16="http://schemas.microsoft.com/office/drawing/2014/main" id="{00000000-0008-0000-0A00-0000A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165</xdr:row>
      <xdr:rowOff>0</xdr:rowOff>
    </xdr:from>
    <xdr:ext cx="381000" cy="381000"/>
    <xdr:pic>
      <xdr:nvPicPr>
        <xdr:cNvPr id="166" name="image36.jpg">
          <a:extLst>
            <a:ext uri="{FF2B5EF4-FFF2-40B4-BE49-F238E27FC236}">
              <a16:creationId xmlns:a16="http://schemas.microsoft.com/office/drawing/2014/main" id="{00000000-0008-0000-0A00-0000A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166</xdr:row>
      <xdr:rowOff>0</xdr:rowOff>
    </xdr:from>
    <xdr:ext cx="381000" cy="381000"/>
    <xdr:pic>
      <xdr:nvPicPr>
        <xdr:cNvPr id="167" name="image17.jpg">
          <a:extLst>
            <a:ext uri="{FF2B5EF4-FFF2-40B4-BE49-F238E27FC236}">
              <a16:creationId xmlns:a16="http://schemas.microsoft.com/office/drawing/2014/main" id="{00000000-0008-0000-0A00-0000A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167</xdr:row>
      <xdr:rowOff>0</xdr:rowOff>
    </xdr:from>
    <xdr:ext cx="381000" cy="381000"/>
    <xdr:pic>
      <xdr:nvPicPr>
        <xdr:cNvPr id="168" name="image20.png">
          <a:extLst>
            <a:ext uri="{FF2B5EF4-FFF2-40B4-BE49-F238E27FC236}">
              <a16:creationId xmlns:a16="http://schemas.microsoft.com/office/drawing/2014/main" id="{00000000-0008-0000-0A00-0000A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168</xdr:row>
      <xdr:rowOff>0</xdr:rowOff>
    </xdr:from>
    <xdr:ext cx="381000" cy="381000"/>
    <xdr:pic>
      <xdr:nvPicPr>
        <xdr:cNvPr id="169" name="image17.jpg">
          <a:extLst>
            <a:ext uri="{FF2B5EF4-FFF2-40B4-BE49-F238E27FC236}">
              <a16:creationId xmlns:a16="http://schemas.microsoft.com/office/drawing/2014/main" id="{00000000-0008-0000-0A00-0000A9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169</xdr:row>
      <xdr:rowOff>0</xdr:rowOff>
    </xdr:from>
    <xdr:ext cx="381000" cy="381000"/>
    <xdr:pic>
      <xdr:nvPicPr>
        <xdr:cNvPr id="170" name="image20.png">
          <a:extLst>
            <a:ext uri="{FF2B5EF4-FFF2-40B4-BE49-F238E27FC236}">
              <a16:creationId xmlns:a16="http://schemas.microsoft.com/office/drawing/2014/main" id="{00000000-0008-0000-0A00-0000AA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170</xdr:row>
      <xdr:rowOff>0</xdr:rowOff>
    </xdr:from>
    <xdr:ext cx="381000" cy="381000"/>
    <xdr:pic>
      <xdr:nvPicPr>
        <xdr:cNvPr id="171" name="image36.jpg">
          <a:extLst>
            <a:ext uri="{FF2B5EF4-FFF2-40B4-BE49-F238E27FC236}">
              <a16:creationId xmlns:a16="http://schemas.microsoft.com/office/drawing/2014/main" id="{00000000-0008-0000-0A00-0000AB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171</xdr:row>
      <xdr:rowOff>0</xdr:rowOff>
    </xdr:from>
    <xdr:ext cx="381000" cy="381000"/>
    <xdr:pic>
      <xdr:nvPicPr>
        <xdr:cNvPr id="172" name="image17.jpg">
          <a:extLst>
            <a:ext uri="{FF2B5EF4-FFF2-40B4-BE49-F238E27FC236}">
              <a16:creationId xmlns:a16="http://schemas.microsoft.com/office/drawing/2014/main" id="{00000000-0008-0000-0A00-0000AC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172</xdr:row>
      <xdr:rowOff>0</xdr:rowOff>
    </xdr:from>
    <xdr:ext cx="381000" cy="381000"/>
    <xdr:pic>
      <xdr:nvPicPr>
        <xdr:cNvPr id="173" name="image20.png">
          <a:extLst>
            <a:ext uri="{FF2B5EF4-FFF2-40B4-BE49-F238E27FC236}">
              <a16:creationId xmlns:a16="http://schemas.microsoft.com/office/drawing/2014/main" id="{00000000-0008-0000-0A00-0000AD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173</xdr:row>
      <xdr:rowOff>0</xdr:rowOff>
    </xdr:from>
    <xdr:ext cx="381000" cy="381000"/>
    <xdr:pic>
      <xdr:nvPicPr>
        <xdr:cNvPr id="174" name="image17.jpg">
          <a:extLst>
            <a:ext uri="{FF2B5EF4-FFF2-40B4-BE49-F238E27FC236}">
              <a16:creationId xmlns:a16="http://schemas.microsoft.com/office/drawing/2014/main" id="{00000000-0008-0000-0A00-0000AE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174</xdr:row>
      <xdr:rowOff>0</xdr:rowOff>
    </xdr:from>
    <xdr:ext cx="381000" cy="381000"/>
    <xdr:pic>
      <xdr:nvPicPr>
        <xdr:cNvPr id="175" name="image20.png">
          <a:extLst>
            <a:ext uri="{FF2B5EF4-FFF2-40B4-BE49-F238E27FC236}">
              <a16:creationId xmlns:a16="http://schemas.microsoft.com/office/drawing/2014/main" id="{00000000-0008-0000-0A00-0000AF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175</xdr:row>
      <xdr:rowOff>0</xdr:rowOff>
    </xdr:from>
    <xdr:ext cx="381000" cy="381000"/>
    <xdr:pic>
      <xdr:nvPicPr>
        <xdr:cNvPr id="176" name="image36.jpg">
          <a:extLst>
            <a:ext uri="{FF2B5EF4-FFF2-40B4-BE49-F238E27FC236}">
              <a16:creationId xmlns:a16="http://schemas.microsoft.com/office/drawing/2014/main" id="{00000000-0008-0000-0A00-0000B0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176</xdr:row>
      <xdr:rowOff>0</xdr:rowOff>
    </xdr:from>
    <xdr:ext cx="381000" cy="381000"/>
    <xdr:pic>
      <xdr:nvPicPr>
        <xdr:cNvPr id="177" name="image17.jpg">
          <a:extLst>
            <a:ext uri="{FF2B5EF4-FFF2-40B4-BE49-F238E27FC236}">
              <a16:creationId xmlns:a16="http://schemas.microsoft.com/office/drawing/2014/main" id="{00000000-0008-0000-0A00-0000B1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177</xdr:row>
      <xdr:rowOff>0</xdr:rowOff>
    </xdr:from>
    <xdr:ext cx="381000" cy="381000"/>
    <xdr:pic>
      <xdr:nvPicPr>
        <xdr:cNvPr id="178" name="image20.png">
          <a:extLst>
            <a:ext uri="{FF2B5EF4-FFF2-40B4-BE49-F238E27FC236}">
              <a16:creationId xmlns:a16="http://schemas.microsoft.com/office/drawing/2014/main" id="{00000000-0008-0000-0A00-0000B2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178</xdr:row>
      <xdr:rowOff>0</xdr:rowOff>
    </xdr:from>
    <xdr:ext cx="381000" cy="381000"/>
    <xdr:pic>
      <xdr:nvPicPr>
        <xdr:cNvPr id="179" name="image17.jpg">
          <a:extLst>
            <a:ext uri="{FF2B5EF4-FFF2-40B4-BE49-F238E27FC236}">
              <a16:creationId xmlns:a16="http://schemas.microsoft.com/office/drawing/2014/main" id="{00000000-0008-0000-0A00-0000B3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179</xdr:row>
      <xdr:rowOff>0</xdr:rowOff>
    </xdr:from>
    <xdr:ext cx="381000" cy="381000"/>
    <xdr:pic>
      <xdr:nvPicPr>
        <xdr:cNvPr id="180" name="image36.jpg">
          <a:extLst>
            <a:ext uri="{FF2B5EF4-FFF2-40B4-BE49-F238E27FC236}">
              <a16:creationId xmlns:a16="http://schemas.microsoft.com/office/drawing/2014/main" id="{00000000-0008-0000-0A00-0000B4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180</xdr:row>
      <xdr:rowOff>0</xdr:rowOff>
    </xdr:from>
    <xdr:ext cx="381000" cy="381000"/>
    <xdr:pic>
      <xdr:nvPicPr>
        <xdr:cNvPr id="181" name="image20.png">
          <a:extLst>
            <a:ext uri="{FF2B5EF4-FFF2-40B4-BE49-F238E27FC236}">
              <a16:creationId xmlns:a16="http://schemas.microsoft.com/office/drawing/2014/main" id="{00000000-0008-0000-0A00-0000B5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181</xdr:row>
      <xdr:rowOff>0</xdr:rowOff>
    </xdr:from>
    <xdr:ext cx="381000" cy="381000"/>
    <xdr:pic>
      <xdr:nvPicPr>
        <xdr:cNvPr id="182" name="image17.jpg">
          <a:extLst>
            <a:ext uri="{FF2B5EF4-FFF2-40B4-BE49-F238E27FC236}">
              <a16:creationId xmlns:a16="http://schemas.microsoft.com/office/drawing/2014/main" id="{00000000-0008-0000-0A00-0000B6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182</xdr:row>
      <xdr:rowOff>0</xdr:rowOff>
    </xdr:from>
    <xdr:ext cx="381000" cy="381000"/>
    <xdr:pic>
      <xdr:nvPicPr>
        <xdr:cNvPr id="183" name="image36.jpg">
          <a:extLst>
            <a:ext uri="{FF2B5EF4-FFF2-40B4-BE49-F238E27FC236}">
              <a16:creationId xmlns:a16="http://schemas.microsoft.com/office/drawing/2014/main" id="{00000000-0008-0000-0A00-0000B7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183</xdr:row>
      <xdr:rowOff>0</xdr:rowOff>
    </xdr:from>
    <xdr:ext cx="381000" cy="381000"/>
    <xdr:pic>
      <xdr:nvPicPr>
        <xdr:cNvPr id="184" name="image20.png">
          <a:extLst>
            <a:ext uri="{FF2B5EF4-FFF2-40B4-BE49-F238E27FC236}">
              <a16:creationId xmlns:a16="http://schemas.microsoft.com/office/drawing/2014/main" id="{00000000-0008-0000-0A00-0000B8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184</xdr:row>
      <xdr:rowOff>0</xdr:rowOff>
    </xdr:from>
    <xdr:ext cx="381000" cy="381000"/>
    <xdr:pic>
      <xdr:nvPicPr>
        <xdr:cNvPr id="185" name="image17.jpg">
          <a:extLst>
            <a:ext uri="{FF2B5EF4-FFF2-40B4-BE49-F238E27FC236}">
              <a16:creationId xmlns:a16="http://schemas.microsoft.com/office/drawing/2014/main" id="{00000000-0008-0000-0A00-0000B9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2</xdr:col>
      <xdr:colOff>0</xdr:colOff>
      <xdr:row>185</xdr:row>
      <xdr:rowOff>0</xdr:rowOff>
    </xdr:from>
    <xdr:ext cx="381000" cy="381000"/>
    <xdr:pic>
      <xdr:nvPicPr>
        <xdr:cNvPr id="186" name="image36.jpg">
          <a:extLst>
            <a:ext uri="{FF2B5EF4-FFF2-40B4-BE49-F238E27FC236}">
              <a16:creationId xmlns:a16="http://schemas.microsoft.com/office/drawing/2014/main" id="{00000000-0008-0000-0A00-0000BA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186</xdr:row>
      <xdr:rowOff>0</xdr:rowOff>
    </xdr:from>
    <xdr:ext cx="381000" cy="381000"/>
    <xdr:pic>
      <xdr:nvPicPr>
        <xdr:cNvPr id="187" name="image20.png">
          <a:extLst>
            <a:ext uri="{FF2B5EF4-FFF2-40B4-BE49-F238E27FC236}">
              <a16:creationId xmlns:a16="http://schemas.microsoft.com/office/drawing/2014/main" id="{00000000-0008-0000-0A00-0000BB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2</xdr:col>
      <xdr:colOff>0</xdr:colOff>
      <xdr:row>187</xdr:row>
      <xdr:rowOff>0</xdr:rowOff>
    </xdr:from>
    <xdr:ext cx="381000" cy="381000"/>
    <xdr:pic>
      <xdr:nvPicPr>
        <xdr:cNvPr id="188" name="image153.png">
          <a:extLst>
            <a:ext uri="{FF2B5EF4-FFF2-40B4-BE49-F238E27FC236}">
              <a16:creationId xmlns:a16="http://schemas.microsoft.com/office/drawing/2014/main" id="{00000000-0008-0000-0A00-0000BC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188</xdr:row>
      <xdr:rowOff>0</xdr:rowOff>
    </xdr:from>
    <xdr:ext cx="381000" cy="381000"/>
    <xdr:pic>
      <xdr:nvPicPr>
        <xdr:cNvPr id="189" name="image51.jpg">
          <a:extLst>
            <a:ext uri="{FF2B5EF4-FFF2-40B4-BE49-F238E27FC236}">
              <a16:creationId xmlns:a16="http://schemas.microsoft.com/office/drawing/2014/main" id="{00000000-0008-0000-0A00-0000BD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189</xdr:row>
      <xdr:rowOff>0</xdr:rowOff>
    </xdr:from>
    <xdr:ext cx="381000" cy="381000"/>
    <xdr:pic>
      <xdr:nvPicPr>
        <xdr:cNvPr id="190" name="image176.png">
          <a:extLst>
            <a:ext uri="{FF2B5EF4-FFF2-40B4-BE49-F238E27FC236}">
              <a16:creationId xmlns:a16="http://schemas.microsoft.com/office/drawing/2014/main" id="{00000000-0008-0000-0A00-0000BE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2</xdr:col>
      <xdr:colOff>0</xdr:colOff>
      <xdr:row>190</xdr:row>
      <xdr:rowOff>0</xdr:rowOff>
    </xdr:from>
    <xdr:ext cx="381000" cy="381000"/>
    <xdr:pic>
      <xdr:nvPicPr>
        <xdr:cNvPr id="191" name="image85.jpg">
          <a:extLst>
            <a:ext uri="{FF2B5EF4-FFF2-40B4-BE49-F238E27FC236}">
              <a16:creationId xmlns:a16="http://schemas.microsoft.com/office/drawing/2014/main" id="{00000000-0008-0000-0A00-0000BF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191</xdr:row>
      <xdr:rowOff>0</xdr:rowOff>
    </xdr:from>
    <xdr:ext cx="381000" cy="381000"/>
    <xdr:pic>
      <xdr:nvPicPr>
        <xdr:cNvPr id="192" name="image176.png">
          <a:extLst>
            <a:ext uri="{FF2B5EF4-FFF2-40B4-BE49-F238E27FC236}">
              <a16:creationId xmlns:a16="http://schemas.microsoft.com/office/drawing/2014/main" id="{00000000-0008-0000-0A00-0000C0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2</xdr:col>
      <xdr:colOff>0</xdr:colOff>
      <xdr:row>192</xdr:row>
      <xdr:rowOff>0</xdr:rowOff>
    </xdr:from>
    <xdr:ext cx="381000" cy="381000"/>
    <xdr:pic>
      <xdr:nvPicPr>
        <xdr:cNvPr id="193" name="image85.jpg">
          <a:extLst>
            <a:ext uri="{FF2B5EF4-FFF2-40B4-BE49-F238E27FC236}">
              <a16:creationId xmlns:a16="http://schemas.microsoft.com/office/drawing/2014/main" id="{00000000-0008-0000-0A00-0000C1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193</xdr:row>
      <xdr:rowOff>0</xdr:rowOff>
    </xdr:from>
    <xdr:ext cx="381000" cy="381000"/>
    <xdr:pic>
      <xdr:nvPicPr>
        <xdr:cNvPr id="194" name="image176.png">
          <a:extLst>
            <a:ext uri="{FF2B5EF4-FFF2-40B4-BE49-F238E27FC236}">
              <a16:creationId xmlns:a16="http://schemas.microsoft.com/office/drawing/2014/main" id="{00000000-0008-0000-0A00-0000C2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2</xdr:col>
      <xdr:colOff>0</xdr:colOff>
      <xdr:row>194</xdr:row>
      <xdr:rowOff>0</xdr:rowOff>
    </xdr:from>
    <xdr:ext cx="381000" cy="381000"/>
    <xdr:pic>
      <xdr:nvPicPr>
        <xdr:cNvPr id="195" name="image85.jpg">
          <a:extLst>
            <a:ext uri="{FF2B5EF4-FFF2-40B4-BE49-F238E27FC236}">
              <a16:creationId xmlns:a16="http://schemas.microsoft.com/office/drawing/2014/main" id="{00000000-0008-0000-0A00-0000C3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195</xdr:row>
      <xdr:rowOff>0</xdr:rowOff>
    </xdr:from>
    <xdr:ext cx="381000" cy="381000"/>
    <xdr:pic>
      <xdr:nvPicPr>
        <xdr:cNvPr id="196" name="image153.png">
          <a:extLst>
            <a:ext uri="{FF2B5EF4-FFF2-40B4-BE49-F238E27FC236}">
              <a16:creationId xmlns:a16="http://schemas.microsoft.com/office/drawing/2014/main" id="{00000000-0008-0000-0A00-0000C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196</xdr:row>
      <xdr:rowOff>0</xdr:rowOff>
    </xdr:from>
    <xdr:ext cx="381000" cy="381000"/>
    <xdr:pic>
      <xdr:nvPicPr>
        <xdr:cNvPr id="197" name="image82.jpg">
          <a:extLst>
            <a:ext uri="{FF2B5EF4-FFF2-40B4-BE49-F238E27FC236}">
              <a16:creationId xmlns:a16="http://schemas.microsoft.com/office/drawing/2014/main" id="{00000000-0008-0000-0A00-0000C5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2</xdr:col>
      <xdr:colOff>0</xdr:colOff>
      <xdr:row>197</xdr:row>
      <xdr:rowOff>0</xdr:rowOff>
    </xdr:from>
    <xdr:ext cx="381000" cy="381000"/>
    <xdr:pic>
      <xdr:nvPicPr>
        <xdr:cNvPr id="198" name="image153.png">
          <a:extLst>
            <a:ext uri="{FF2B5EF4-FFF2-40B4-BE49-F238E27FC236}">
              <a16:creationId xmlns:a16="http://schemas.microsoft.com/office/drawing/2014/main" id="{00000000-0008-0000-0A00-0000C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198</xdr:row>
      <xdr:rowOff>0</xdr:rowOff>
    </xdr:from>
    <xdr:ext cx="381000" cy="381000"/>
    <xdr:pic>
      <xdr:nvPicPr>
        <xdr:cNvPr id="199" name="image14.jpg">
          <a:extLst>
            <a:ext uri="{FF2B5EF4-FFF2-40B4-BE49-F238E27FC236}">
              <a16:creationId xmlns:a16="http://schemas.microsoft.com/office/drawing/2014/main" id="{00000000-0008-0000-0A00-0000C7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199</xdr:row>
      <xdr:rowOff>0</xdr:rowOff>
    </xdr:from>
    <xdr:ext cx="381000" cy="381000"/>
    <xdr:pic>
      <xdr:nvPicPr>
        <xdr:cNvPr id="200" name="image86.jpg">
          <a:extLst>
            <a:ext uri="{FF2B5EF4-FFF2-40B4-BE49-F238E27FC236}">
              <a16:creationId xmlns:a16="http://schemas.microsoft.com/office/drawing/2014/main" id="{00000000-0008-0000-0A00-0000C8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200</xdr:row>
      <xdr:rowOff>0</xdr:rowOff>
    </xdr:from>
    <xdr:ext cx="381000" cy="381000"/>
    <xdr:pic>
      <xdr:nvPicPr>
        <xdr:cNvPr id="201" name="image153.png">
          <a:extLst>
            <a:ext uri="{FF2B5EF4-FFF2-40B4-BE49-F238E27FC236}">
              <a16:creationId xmlns:a16="http://schemas.microsoft.com/office/drawing/2014/main" id="{00000000-0008-0000-0A00-0000C9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201</xdr:row>
      <xdr:rowOff>0</xdr:rowOff>
    </xdr:from>
    <xdr:ext cx="381000" cy="381000"/>
    <xdr:pic>
      <xdr:nvPicPr>
        <xdr:cNvPr id="202" name="image1.jpg">
          <a:extLst>
            <a:ext uri="{FF2B5EF4-FFF2-40B4-BE49-F238E27FC236}">
              <a16:creationId xmlns:a16="http://schemas.microsoft.com/office/drawing/2014/main" id="{00000000-0008-0000-0A00-0000CA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2</xdr:col>
      <xdr:colOff>0</xdr:colOff>
      <xdr:row>202</xdr:row>
      <xdr:rowOff>0</xdr:rowOff>
    </xdr:from>
    <xdr:ext cx="381000" cy="381000"/>
    <xdr:pic>
      <xdr:nvPicPr>
        <xdr:cNvPr id="203" name="image153.png">
          <a:extLst>
            <a:ext uri="{FF2B5EF4-FFF2-40B4-BE49-F238E27FC236}">
              <a16:creationId xmlns:a16="http://schemas.microsoft.com/office/drawing/2014/main" id="{00000000-0008-0000-0A00-0000CB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203</xdr:row>
      <xdr:rowOff>0</xdr:rowOff>
    </xdr:from>
    <xdr:ext cx="381000" cy="381000"/>
    <xdr:pic>
      <xdr:nvPicPr>
        <xdr:cNvPr id="204" name="image89.jpg">
          <a:extLst>
            <a:ext uri="{FF2B5EF4-FFF2-40B4-BE49-F238E27FC236}">
              <a16:creationId xmlns:a16="http://schemas.microsoft.com/office/drawing/2014/main" id="{00000000-0008-0000-0A00-0000CC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2</xdr:col>
      <xdr:colOff>0</xdr:colOff>
      <xdr:row>204</xdr:row>
      <xdr:rowOff>0</xdr:rowOff>
    </xdr:from>
    <xdr:ext cx="381000" cy="381000"/>
    <xdr:pic>
      <xdr:nvPicPr>
        <xdr:cNvPr id="205" name="image153.png">
          <a:extLst>
            <a:ext uri="{FF2B5EF4-FFF2-40B4-BE49-F238E27FC236}">
              <a16:creationId xmlns:a16="http://schemas.microsoft.com/office/drawing/2014/main" id="{00000000-0008-0000-0A00-0000CD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205</xdr:row>
      <xdr:rowOff>0</xdr:rowOff>
    </xdr:from>
    <xdr:ext cx="381000" cy="381000"/>
    <xdr:pic>
      <xdr:nvPicPr>
        <xdr:cNvPr id="206" name="image92.jpg">
          <a:extLst>
            <a:ext uri="{FF2B5EF4-FFF2-40B4-BE49-F238E27FC236}">
              <a16:creationId xmlns:a16="http://schemas.microsoft.com/office/drawing/2014/main" id="{00000000-0008-0000-0A00-0000C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206</xdr:row>
      <xdr:rowOff>0</xdr:rowOff>
    </xdr:from>
    <xdr:ext cx="381000" cy="381000"/>
    <xdr:pic>
      <xdr:nvPicPr>
        <xdr:cNvPr id="207" name="image153.png">
          <a:extLst>
            <a:ext uri="{FF2B5EF4-FFF2-40B4-BE49-F238E27FC236}">
              <a16:creationId xmlns:a16="http://schemas.microsoft.com/office/drawing/2014/main" id="{00000000-0008-0000-0A00-0000CF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207</xdr:row>
      <xdr:rowOff>0</xdr:rowOff>
    </xdr:from>
    <xdr:ext cx="381000" cy="381000"/>
    <xdr:pic>
      <xdr:nvPicPr>
        <xdr:cNvPr id="208" name="image107.jpg">
          <a:extLst>
            <a:ext uri="{FF2B5EF4-FFF2-40B4-BE49-F238E27FC236}">
              <a16:creationId xmlns:a16="http://schemas.microsoft.com/office/drawing/2014/main" id="{00000000-0008-0000-0A00-0000D0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2</xdr:col>
      <xdr:colOff>0</xdr:colOff>
      <xdr:row>208</xdr:row>
      <xdr:rowOff>0</xdr:rowOff>
    </xdr:from>
    <xdr:ext cx="381000" cy="381000"/>
    <xdr:pic>
      <xdr:nvPicPr>
        <xdr:cNvPr id="209" name="image153.png">
          <a:extLst>
            <a:ext uri="{FF2B5EF4-FFF2-40B4-BE49-F238E27FC236}">
              <a16:creationId xmlns:a16="http://schemas.microsoft.com/office/drawing/2014/main" id="{00000000-0008-0000-0A00-0000D1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209</xdr:row>
      <xdr:rowOff>0</xdr:rowOff>
    </xdr:from>
    <xdr:ext cx="381000" cy="381000"/>
    <xdr:pic>
      <xdr:nvPicPr>
        <xdr:cNvPr id="210" name="image87.jpg">
          <a:extLst>
            <a:ext uri="{FF2B5EF4-FFF2-40B4-BE49-F238E27FC236}">
              <a16:creationId xmlns:a16="http://schemas.microsoft.com/office/drawing/2014/main" id="{00000000-0008-0000-0A00-0000D2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1:B64">
  <tableColumns count="2">
    <tableColumn id="1" xr3:uid="{00000000-0010-0000-0000-000001000000}" name="Date"/>
    <tableColumn id="2" xr3:uid="{00000000-0010-0000-0000-000002000000}" name="Description"/>
  </tableColumns>
  <tableStyleInfo name="Changelog-style" showFirstColumn="1" showLastColumn="1"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youtu.be/pTNWB87wNss?t=378" TargetMode="External"/></Relationships>
</file>

<file path=xl/worksheets/_rels/sheet10.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8" Type="http://schemas.openxmlformats.org/officeDocument/2006/relationships/hyperlink" Target="https://youtu.be/t50lP3Flg68?t=282" TargetMode="External"/><Relationship Id="rId13" Type="http://schemas.openxmlformats.org/officeDocument/2006/relationships/hyperlink" Target="https://youtu.be/qMf0ZrwNR2Y?t=1169" TargetMode="External"/><Relationship Id="rId18" Type="http://schemas.openxmlformats.org/officeDocument/2006/relationships/hyperlink" Target="https://youtu.be/aO2JVP9f8GI?t=468" TargetMode="External"/><Relationship Id="rId26" Type="http://schemas.openxmlformats.org/officeDocument/2006/relationships/hyperlink" Target="https://youtu.be/RQszKZ5i4AA?t=6" TargetMode="External"/><Relationship Id="rId3" Type="http://schemas.openxmlformats.org/officeDocument/2006/relationships/hyperlink" Target="https://www.youtube.com/watch?v=F6NdV8sNU0s" TargetMode="External"/><Relationship Id="rId21" Type="http://schemas.openxmlformats.org/officeDocument/2006/relationships/hyperlink" Target="https://youtu.be/ic9PFd7l-A0?t=177" TargetMode="External"/><Relationship Id="rId7" Type="http://schemas.openxmlformats.org/officeDocument/2006/relationships/hyperlink" Target="https://youtu.be/t50lP3Flg68?t=167" TargetMode="External"/><Relationship Id="rId12" Type="http://schemas.openxmlformats.org/officeDocument/2006/relationships/hyperlink" Target="https://youtu.be/uNKnSS_DHAA?t=639" TargetMode="External"/><Relationship Id="rId17" Type="http://schemas.openxmlformats.org/officeDocument/2006/relationships/hyperlink" Target="https://youtu.be/_-aBZOFUjwY?t=800" TargetMode="External"/><Relationship Id="rId25" Type="http://schemas.openxmlformats.org/officeDocument/2006/relationships/hyperlink" Target="https://www.youtube.com/watch?v=La036XjtwtI" TargetMode="External"/><Relationship Id="rId2" Type="http://schemas.openxmlformats.org/officeDocument/2006/relationships/hyperlink" Target="https://youtu.be/01Rcj9hh708?t=200" TargetMode="External"/><Relationship Id="rId16" Type="http://schemas.openxmlformats.org/officeDocument/2006/relationships/hyperlink" Target="https://youtu.be/_-aBZOFUjwY?t=676" TargetMode="External"/><Relationship Id="rId20" Type="http://schemas.openxmlformats.org/officeDocument/2006/relationships/hyperlink" Target="https://youtu.be/8q5IyNphlm4?t=109" TargetMode="External"/><Relationship Id="rId29" Type="http://schemas.openxmlformats.org/officeDocument/2006/relationships/drawing" Target="../drawings/drawing12.xml"/><Relationship Id="rId1" Type="http://schemas.openxmlformats.org/officeDocument/2006/relationships/hyperlink" Target="https://www.youtube.com/watch?v=OiKSJ2hKALg" TargetMode="External"/><Relationship Id="rId6" Type="http://schemas.openxmlformats.org/officeDocument/2006/relationships/hyperlink" Target="https://youtu.be/4iYpvItEG4M?t=10" TargetMode="External"/><Relationship Id="rId11" Type="http://schemas.openxmlformats.org/officeDocument/2006/relationships/hyperlink" Target="https://youtu.be/nnb0p15kmlM?t=1120" TargetMode="External"/><Relationship Id="rId24" Type="http://schemas.openxmlformats.org/officeDocument/2006/relationships/hyperlink" Target="https://youtu.be/fguqiv3ZINA?t=334" TargetMode="External"/><Relationship Id="rId5" Type="http://schemas.openxmlformats.org/officeDocument/2006/relationships/hyperlink" Target="https://www.youtube.com/watch?v=llxr4yYJ07g" TargetMode="External"/><Relationship Id="rId15" Type="http://schemas.openxmlformats.org/officeDocument/2006/relationships/hyperlink" Target="https://youtu.be/_-aBZOFUjwY?t=509" TargetMode="External"/><Relationship Id="rId23" Type="http://schemas.openxmlformats.org/officeDocument/2006/relationships/hyperlink" Target="https://youtu.be/fguqiv3ZINA?t=43" TargetMode="External"/><Relationship Id="rId28" Type="http://schemas.openxmlformats.org/officeDocument/2006/relationships/hyperlink" Target="https://youtu.be/4nMiGsc8gUo?t=304" TargetMode="External"/><Relationship Id="rId10" Type="http://schemas.openxmlformats.org/officeDocument/2006/relationships/hyperlink" Target="https://youtu.be/39x102_6jXI?t=13" TargetMode="External"/><Relationship Id="rId19" Type="http://schemas.openxmlformats.org/officeDocument/2006/relationships/hyperlink" Target="https://youtu.be/aO2JVP9f8GI?t=612" TargetMode="External"/><Relationship Id="rId31" Type="http://schemas.openxmlformats.org/officeDocument/2006/relationships/comments" Target="../comments9.xml"/><Relationship Id="rId4" Type="http://schemas.openxmlformats.org/officeDocument/2006/relationships/hyperlink" Target="https://youtu.be/03Q76wIMRRU?t=667" TargetMode="External"/><Relationship Id="rId9" Type="http://schemas.openxmlformats.org/officeDocument/2006/relationships/hyperlink" Target="https://youtu.be/WpVVLEMePw8?t=47" TargetMode="External"/><Relationship Id="rId14" Type="http://schemas.openxmlformats.org/officeDocument/2006/relationships/hyperlink" Target="https://youtu.be/_-aBZOFUjwY?t=387" TargetMode="External"/><Relationship Id="rId22" Type="http://schemas.openxmlformats.org/officeDocument/2006/relationships/hyperlink" Target="https://youtu.be/bK_cb4sUCOs?t=300" TargetMode="External"/><Relationship Id="rId27" Type="http://schemas.openxmlformats.org/officeDocument/2006/relationships/hyperlink" Target="https://youtu.be/jwORsiindgU?t=193" TargetMode="External"/><Relationship Id="rId30" Type="http://schemas.openxmlformats.org/officeDocument/2006/relationships/vmlDrawing" Target="../drawings/vmlDrawing9.vml"/></Relationships>
</file>

<file path=xl/worksheets/_rels/sheet15.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3" Type="http://schemas.openxmlformats.org/officeDocument/2006/relationships/comments" Target="../comments11.xml"/><Relationship Id="rId2" Type="http://schemas.openxmlformats.org/officeDocument/2006/relationships/vmlDrawing" Target="../drawings/vmlDrawing11.vml"/><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3" Type="http://schemas.openxmlformats.org/officeDocument/2006/relationships/comments" Target="../comments13.xml"/><Relationship Id="rId2" Type="http://schemas.openxmlformats.org/officeDocument/2006/relationships/vmlDrawing" Target="../drawings/vmlDrawing13.vml"/><Relationship Id="rId1" Type="http://schemas.openxmlformats.org/officeDocument/2006/relationships/drawing" Target="../drawings/drawing17.xml"/></Relationships>
</file>

<file path=xl/worksheets/_rels/sheet23.xml.rels><?xml version="1.0" encoding="UTF-8" standalone="yes"?>
<Relationships xmlns="http://schemas.openxmlformats.org/package/2006/relationships"><Relationship Id="rId3" Type="http://schemas.openxmlformats.org/officeDocument/2006/relationships/comments" Target="../comments14.xml"/><Relationship Id="rId2" Type="http://schemas.openxmlformats.org/officeDocument/2006/relationships/vmlDrawing" Target="../drawings/vmlDrawing14.vml"/><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3" Type="http://schemas.openxmlformats.org/officeDocument/2006/relationships/hyperlink" Target="https://docs.google.com/spreadsheets/d/1o9UbdCHKKY6n-ukGenw-iR2cfrhzFhO6xqzBtwm_ujM/edit" TargetMode="External"/><Relationship Id="rId2" Type="http://schemas.openxmlformats.org/officeDocument/2006/relationships/hyperlink" Target="https://www.youtube.com/watch?v=wv35fZOHRa8" TargetMode="External"/><Relationship Id="rId1" Type="http://schemas.openxmlformats.org/officeDocument/2006/relationships/hyperlink" Target="https://www.youtube.com/watch?v=nkzTLRgNNO4" TargetMode="External"/></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8" Type="http://schemas.openxmlformats.org/officeDocument/2006/relationships/hyperlink" Target="https://www.youtube.com/watch?v=CyhkTqJiqk8&amp;list=PLoR_esdNr4jw3Q6bHjGwufnEYOZy05k_n&amp;index=16&amp;pp=gAQBiAQB" TargetMode="External"/><Relationship Id="rId13" Type="http://schemas.openxmlformats.org/officeDocument/2006/relationships/hyperlink" Target="https://www.youtube.com/watch?v=bJR3wtU1dkE&amp;list=PLoR_esdNr4jw3Q6bHjGwufnEYOZy05k_n&amp;index=7&amp;pp=gAQBiAQB" TargetMode="External"/><Relationship Id="rId18" Type="http://schemas.openxmlformats.org/officeDocument/2006/relationships/hyperlink" Target="https://www.youtube.com/watch?v=YBtqUyMTSvg&amp;list=PLoR_esdNr4jw3Q6bHjGwufnEYOZy05k_n&amp;index=24&amp;pp=gAQBiAQB" TargetMode="External"/><Relationship Id="rId26" Type="http://schemas.openxmlformats.org/officeDocument/2006/relationships/hyperlink" Target="https://www.youtube.com/watch?v=aPzMomlemiA&amp;list=PLoR_esdNr4jw3Q6bHjGwufnEYOZy05k_n&amp;index=9&amp;pp=gAQBiAQB" TargetMode="External"/><Relationship Id="rId3" Type="http://schemas.openxmlformats.org/officeDocument/2006/relationships/hyperlink" Target="https://www.youtube.com/watch?v=SD1_02AcnNg" TargetMode="External"/><Relationship Id="rId21" Type="http://schemas.openxmlformats.org/officeDocument/2006/relationships/hyperlink" Target="https://www.youtube.com/watch?v=EkeoazvU3tw&amp;list=PLoR_esdNr4jw3Q6bHjGwufnEYOZy05k_n&amp;index=18&amp;pp=gAQBiAQB" TargetMode="External"/><Relationship Id="rId7" Type="http://schemas.openxmlformats.org/officeDocument/2006/relationships/hyperlink" Target="https://www.youtube.com/watch?v=8WRVbHAqi9o&amp;list=PLoR_esdNr4jw3Q6bHjGwufnEYOZy05k_n&amp;index=24" TargetMode="External"/><Relationship Id="rId12" Type="http://schemas.openxmlformats.org/officeDocument/2006/relationships/hyperlink" Target="https://www.youtube.com/watch?v=Q1ksk2llCn8&amp;list=PLoR_esdNr4jw3Q6bHjGwufnEYOZy05k_n&amp;index=11&amp;pp=gAQBiAQB" TargetMode="External"/><Relationship Id="rId17" Type="http://schemas.openxmlformats.org/officeDocument/2006/relationships/hyperlink" Target="https://www.youtube.com/watch?v=eS1q4pIH7GQ&amp;list=PLoR_esdNr4jw3Q6bHjGwufnEYOZy05k_n&amp;index=1&amp;pp=gAQBiAQB" TargetMode="External"/><Relationship Id="rId25" Type="http://schemas.openxmlformats.org/officeDocument/2006/relationships/hyperlink" Target="https://www.youtube.com/watch?v=TeriBmKisYk&amp;list=PLoR_esdNr4jw3Q6bHjGwufnEYOZy05k_n&amp;index=6&amp;pp=gAQBiAQB" TargetMode="External"/><Relationship Id="rId2" Type="http://schemas.openxmlformats.org/officeDocument/2006/relationships/hyperlink" Target="https://www.youtube.com/watch?v=Bzha51sWTW8&amp;list=PLoR_esdNr4jw3Q6bHjGwufnEYOZy05k_n&amp;index=19&amp;pp=gAQBiAQB" TargetMode="External"/><Relationship Id="rId16" Type="http://schemas.openxmlformats.org/officeDocument/2006/relationships/hyperlink" Target="https://www.youtube.com/watch?v=PyND1zz7uB4&amp;list=PLoR_esdNr4jw3Q6bHjGwufnEYOZy05k_n&amp;index=2&amp;pp=gAQBiAQB" TargetMode="External"/><Relationship Id="rId20" Type="http://schemas.openxmlformats.org/officeDocument/2006/relationships/hyperlink" Target="https://www.youtube.com/watch?v=n4bJnd0uSdQ&amp;list=PLoR_esdNr4jw3Q6bHjGwufnEYOZy05k_n&amp;index=8&amp;pp=gAQBiAQB" TargetMode="External"/><Relationship Id="rId29" Type="http://schemas.openxmlformats.org/officeDocument/2006/relationships/vmlDrawing" Target="../drawings/vmlDrawing4.vml"/><Relationship Id="rId1" Type="http://schemas.openxmlformats.org/officeDocument/2006/relationships/hyperlink" Target="https://www.youtube.com/watch?v=hK5HGPcPmVo&amp;list=PLoR_esdNr4jw3Q6bHjGwufnEYOZy05k_n&amp;index=13&amp;pp=gAQBiAQB" TargetMode="External"/><Relationship Id="rId6" Type="http://schemas.openxmlformats.org/officeDocument/2006/relationships/hyperlink" Target="https://www.youtube.com/watch?v=ehm6JLCdl2M&amp;list=PLoR_esdNr4jw3Q6bHjGwufnEYOZy05k_n&amp;index=15&amp;pp=gAQBiAQB" TargetMode="External"/><Relationship Id="rId11" Type="http://schemas.openxmlformats.org/officeDocument/2006/relationships/hyperlink" Target="https://www.youtube.com/watch?v=E-g9z6EdhoI&amp;list=PLoR_esdNr4jw3Q6bHjGwufnEYOZy05k_n&amp;index=12&amp;pp=gAQBiAQB" TargetMode="External"/><Relationship Id="rId24" Type="http://schemas.openxmlformats.org/officeDocument/2006/relationships/hyperlink" Target="https://www.youtube.com/watch?v=CwWY3gdk_ek&amp;list=PLoR_esdNr4jw3Q6bHjGwufnEYOZy05k_n&amp;index=5&amp;pp=gAQBiAQB" TargetMode="External"/><Relationship Id="rId5" Type="http://schemas.openxmlformats.org/officeDocument/2006/relationships/hyperlink" Target="https://www.youtube.com/watch?v=xCQa50SI7tc" TargetMode="External"/><Relationship Id="rId15" Type="http://schemas.openxmlformats.org/officeDocument/2006/relationships/hyperlink" Target="https://www.youtube.com/watch?v=ec9xFwzqZ0A&amp;list=PLoR_esdNr4jw3Q6bHjGwufnEYOZy05k_n&amp;index=21" TargetMode="External"/><Relationship Id="rId23" Type="http://schemas.openxmlformats.org/officeDocument/2006/relationships/hyperlink" Target="https://www.youtube.com/watch?v=urUtR496lms" TargetMode="External"/><Relationship Id="rId28" Type="http://schemas.openxmlformats.org/officeDocument/2006/relationships/drawing" Target="../drawings/drawing5.xml"/><Relationship Id="rId10" Type="http://schemas.openxmlformats.org/officeDocument/2006/relationships/hyperlink" Target="https://www.youtube.com/watch?v=VTJYXwte8n8&amp;list=PLoR_esdNr4jw3Q6bHjGwufnEYOZy05k_n&amp;index=23&amp;pp=gAQBiAQB" TargetMode="External"/><Relationship Id="rId19" Type="http://schemas.openxmlformats.org/officeDocument/2006/relationships/hyperlink" Target="https://www.youtube.com/watch?v=aNexR7n0JOs&amp;list=PLoR_esdNr4jw3Q6bHjGwufnEYOZy05k_n&amp;index=22&amp;pp=gAQBiAQB" TargetMode="External"/><Relationship Id="rId4" Type="http://schemas.openxmlformats.org/officeDocument/2006/relationships/hyperlink" Target="https://www.youtube.com/watch?v=v64snVuS6iQ&amp;list=PLoR_esdNr4jw3Q6bHjGwufnEYOZy05k_n&amp;index=20&amp;pp=gAQBiAQB" TargetMode="External"/><Relationship Id="rId9" Type="http://schemas.openxmlformats.org/officeDocument/2006/relationships/hyperlink" Target="https://www.youtube.com/watch?v=91teoYGXGQg&amp;list=PLoR_esdNr4jw3Q6bHjGwufnEYOZy05k_n&amp;index=17&amp;pp=gAQBiAQB" TargetMode="External"/><Relationship Id="rId14" Type="http://schemas.openxmlformats.org/officeDocument/2006/relationships/hyperlink" Target="https://www.youtube.com/watch?v=ehm6JLCdl2M&amp;list=PLoR_esdNr4jw3Q6bHjGwufnEYOZy05k_n&amp;index=15&amp;pp=gAQBiAQB" TargetMode="External"/><Relationship Id="rId22" Type="http://schemas.openxmlformats.org/officeDocument/2006/relationships/hyperlink" Target="https://www.youtube.com/watch?v=MmTSk8wY4Ok&amp;list=PLoR_esdNr4jw3Q6bHjGwufnEYOZy05k_n&amp;index=4&amp;pp=gAQBiAQB" TargetMode="External"/><Relationship Id="rId27" Type="http://schemas.openxmlformats.org/officeDocument/2006/relationships/hyperlink" Target="https://www.youtube.com/watch?v=cjdeY18n-Tw&amp;list=PLoR_esdNr4jw3Q6bHjGwufnEYOZy05k_n&amp;index=21&amp;pp=gAQBiAQB" TargetMode="External"/><Relationship Id="rId30" Type="http://schemas.openxmlformats.org/officeDocument/2006/relationships/comments" Target="../comments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000000"/>
    <outlinePr summaryBelow="0" summaryRight="0"/>
  </sheetPr>
  <dimension ref="A1:D13"/>
  <sheetViews>
    <sheetView topLeftCell="A7" workbookViewId="0">
      <selection sqref="A1:B1"/>
    </sheetView>
  </sheetViews>
  <sheetFormatPr defaultColWidth="12.5703125" defaultRowHeight="15.75" customHeight="1" x14ac:dyDescent="0.2"/>
  <cols>
    <col min="1" max="1" width="16.5703125" customWidth="1"/>
    <col min="2" max="2" width="56.7109375" customWidth="1"/>
    <col min="3" max="3" width="13.7109375" customWidth="1"/>
    <col min="4" max="4" width="33.42578125" customWidth="1"/>
  </cols>
  <sheetData>
    <row r="1" spans="1:4" ht="66" customHeight="1" x14ac:dyDescent="0.2">
      <c r="A1" s="157" t="s">
        <v>0</v>
      </c>
      <c r="B1" s="158"/>
      <c r="C1" s="2" t="s">
        <v>1</v>
      </c>
      <c r="D1" s="3" t="s">
        <v>2</v>
      </c>
    </row>
    <row r="2" spans="1:4" ht="33.75" customHeight="1" x14ac:dyDescent="0.2">
      <c r="A2" s="4" t="s">
        <v>3</v>
      </c>
      <c r="B2" s="5" t="s">
        <v>4</v>
      </c>
      <c r="C2" s="159" t="s">
        <v>5</v>
      </c>
      <c r="D2" s="161" t="s">
        <v>6</v>
      </c>
    </row>
    <row r="3" spans="1:4" ht="33.75" customHeight="1" x14ac:dyDescent="0.2">
      <c r="A3" s="6" t="s">
        <v>7</v>
      </c>
      <c r="B3" s="7" t="s">
        <v>8</v>
      </c>
      <c r="C3" s="160"/>
      <c r="D3" s="158"/>
    </row>
    <row r="4" spans="1:4" ht="33.75" customHeight="1" x14ac:dyDescent="0.2">
      <c r="A4" s="4" t="s">
        <v>9</v>
      </c>
      <c r="B4" s="5" t="s">
        <v>10</v>
      </c>
      <c r="C4" s="160"/>
      <c r="D4" s="158"/>
    </row>
    <row r="5" spans="1:4" ht="33.75" customHeight="1" x14ac:dyDescent="0.2">
      <c r="A5" s="6" t="s">
        <v>11</v>
      </c>
      <c r="B5" s="7" t="s">
        <v>12</v>
      </c>
      <c r="C5" s="160"/>
      <c r="D5" s="158"/>
    </row>
    <row r="6" spans="1:4" ht="33.75" customHeight="1" x14ac:dyDescent="0.2">
      <c r="A6" s="4" t="s">
        <v>13</v>
      </c>
      <c r="B6" s="5" t="s">
        <v>14</v>
      </c>
      <c r="C6" s="160"/>
      <c r="D6" s="158"/>
    </row>
    <row r="7" spans="1:4" ht="33.75" customHeight="1" x14ac:dyDescent="0.2">
      <c r="A7" s="6" t="s">
        <v>15</v>
      </c>
      <c r="B7" s="7" t="s">
        <v>16</v>
      </c>
      <c r="C7" s="160"/>
      <c r="D7" s="158"/>
    </row>
    <row r="8" spans="1:4" ht="33.75" customHeight="1" x14ac:dyDescent="0.2">
      <c r="A8" s="4" t="s">
        <v>17</v>
      </c>
      <c r="B8" s="5" t="s">
        <v>18</v>
      </c>
      <c r="C8" s="162"/>
      <c r="D8" s="158"/>
    </row>
    <row r="9" spans="1:4" ht="33.75" customHeight="1" x14ac:dyDescent="0.2">
      <c r="A9" s="8" t="s">
        <v>19</v>
      </c>
      <c r="B9" s="7" t="s">
        <v>20</v>
      </c>
      <c r="C9" s="160"/>
      <c r="D9" s="158"/>
    </row>
    <row r="10" spans="1:4" ht="33.75" customHeight="1" x14ac:dyDescent="0.2">
      <c r="A10" s="4" t="s">
        <v>21</v>
      </c>
      <c r="B10" s="5" t="s">
        <v>22</v>
      </c>
      <c r="C10" s="160"/>
      <c r="D10" s="158"/>
    </row>
    <row r="11" spans="1:4" ht="33.75" customHeight="1" x14ac:dyDescent="0.2">
      <c r="A11" s="6" t="s">
        <v>23</v>
      </c>
      <c r="B11" s="7" t="s">
        <v>24</v>
      </c>
      <c r="C11" s="160"/>
      <c r="D11" s="158"/>
    </row>
    <row r="12" spans="1:4" ht="33.75" customHeight="1" x14ac:dyDescent="0.2">
      <c r="A12" s="4" t="s">
        <v>25</v>
      </c>
      <c r="B12" s="5" t="s">
        <v>26</v>
      </c>
      <c r="C12" s="160"/>
      <c r="D12" s="158"/>
    </row>
    <row r="13" spans="1:4" ht="33.75" customHeight="1" x14ac:dyDescent="0.2">
      <c r="A13" s="6" t="s">
        <v>27</v>
      </c>
      <c r="B13" s="7" t="s">
        <v>28</v>
      </c>
      <c r="C13" s="160"/>
      <c r="D13" s="158"/>
    </row>
  </sheetData>
  <mergeCells count="4">
    <mergeCell ref="A1:B1"/>
    <mergeCell ref="C2:C7"/>
    <mergeCell ref="D2:D13"/>
    <mergeCell ref="C8:C13"/>
  </mergeCells>
  <hyperlinks>
    <hyperlink ref="C1" r:id="rId1" xr:uid="{00000000-0004-0000-0000-000000000000}"/>
    <hyperlink ref="A2" location="Changelog!A1" display="Changelog" xr:uid="{00000000-0004-0000-0000-000001000000}"/>
    <hyperlink ref="A3" location="FAQ!A1" display="FAQ" xr:uid="{00000000-0004-0000-0000-000002000000}"/>
    <hyperlink ref="A4" location="Equipment!A1" display="Equipment" xr:uid="{00000000-0004-0000-0000-000003000000}"/>
    <hyperlink ref="A5" location="Weapons!A1" display="Weapons" xr:uid="{00000000-0004-0000-0000-000004000000}"/>
    <hyperlink ref="A6" location="Abilities!A1" display="Abilities" xr:uid="{00000000-0004-0000-0000-000005000000}"/>
    <hyperlink ref="A7" location="'Ranking (old)'!A1" display="Ranking" xr:uid="{00000000-0004-0000-0000-000006000000}"/>
    <hyperlink ref="A8" location="Single!A1" display="Single" xr:uid="{00000000-0004-0000-0000-000007000000}"/>
    <hyperlink ref="A10" location="Bosses!A1" display="Bosses" xr:uid="{00000000-0004-0000-0000-000008000000}"/>
    <hyperlink ref="A11" location="Wolfpacks!A1" display="Wolfpacks" xr:uid="{00000000-0004-0000-0000-000009000000}"/>
    <hyperlink ref="A12" location="Historical!A1" display="Historical" xr:uid="{00000000-0004-0000-0000-00000A000000}"/>
    <hyperlink ref="A13" location="Experimental!A1" display="Experimental" xr:uid="{00000000-0004-0000-0000-00000B000000}"/>
  </hyperlinks>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FFFF00"/>
    <outlinePr summaryBelow="0" summaryRight="0"/>
  </sheetPr>
  <dimension ref="A1:L1043"/>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40.7109375" customWidth="1"/>
    <col min="2" max="2" width="5.140625" customWidth="1"/>
    <col min="3" max="3" width="29.85546875" customWidth="1"/>
    <col min="4" max="12" width="7.5703125" customWidth="1"/>
  </cols>
  <sheetData>
    <row r="1" spans="1:12" ht="30" customHeight="1" x14ac:dyDescent="0.2">
      <c r="A1" s="28" t="s">
        <v>910</v>
      </c>
      <c r="B1" s="28" t="s">
        <v>356</v>
      </c>
      <c r="C1" s="28" t="s">
        <v>30</v>
      </c>
      <c r="D1" s="28" t="s">
        <v>933</v>
      </c>
      <c r="E1" s="28" t="s">
        <v>637</v>
      </c>
      <c r="F1" s="64" t="s">
        <v>582</v>
      </c>
      <c r="G1" s="64" t="s">
        <v>321</v>
      </c>
      <c r="H1" s="64" t="s">
        <v>288</v>
      </c>
      <c r="I1" s="64" t="s">
        <v>257</v>
      </c>
      <c r="J1" s="64" t="s">
        <v>585</v>
      </c>
      <c r="K1" s="28" t="s">
        <v>934</v>
      </c>
      <c r="L1" s="28" t="s">
        <v>588</v>
      </c>
    </row>
    <row r="2" spans="1:12" ht="30" customHeight="1" x14ac:dyDescent="0.2">
      <c r="A2" s="27" t="s">
        <v>935</v>
      </c>
      <c r="B2" s="27"/>
      <c r="C2" s="27" t="s">
        <v>936</v>
      </c>
      <c r="D2" s="31">
        <v>1.7</v>
      </c>
      <c r="E2" s="30">
        <v>566782</v>
      </c>
      <c r="F2" s="31"/>
      <c r="G2" s="31"/>
      <c r="H2" s="31"/>
      <c r="I2" s="31">
        <v>1.3</v>
      </c>
      <c r="J2" s="31"/>
      <c r="K2" s="30">
        <f t="shared" ref="K2:K256" si="0">PRODUCT(E2:J2)</f>
        <v>736816.6</v>
      </c>
      <c r="L2" s="30">
        <f>K2</f>
        <v>736816.6</v>
      </c>
    </row>
    <row r="3" spans="1:12" ht="30" customHeight="1" x14ac:dyDescent="0.2">
      <c r="A3" s="27" t="s">
        <v>935</v>
      </c>
      <c r="B3" s="27"/>
      <c r="C3" s="27" t="s">
        <v>937</v>
      </c>
      <c r="D3" s="31">
        <f>D2+1.65</f>
        <v>3.3499999999999996</v>
      </c>
      <c r="E3" s="30">
        <f t="shared" ref="E3:E17" si="1">95924*1.15</f>
        <v>110312.59999999999</v>
      </c>
      <c r="F3" s="31">
        <v>0.75</v>
      </c>
      <c r="G3" s="31">
        <v>1.22</v>
      </c>
      <c r="H3" s="31">
        <v>1.35</v>
      </c>
      <c r="I3" s="31">
        <v>1.3</v>
      </c>
      <c r="J3" s="31">
        <v>1.0777000000000001</v>
      </c>
      <c r="K3" s="30">
        <f t="shared" si="0"/>
        <v>190906.72108554153</v>
      </c>
      <c r="L3" s="30">
        <f t="shared" ref="L3:L17" si="2">L2+K3</f>
        <v>927723.32108554151</v>
      </c>
    </row>
    <row r="4" spans="1:12" ht="30" customHeight="1" x14ac:dyDescent="0.2">
      <c r="A4" s="27" t="s">
        <v>935</v>
      </c>
      <c r="B4" s="27"/>
      <c r="C4" s="27" t="s">
        <v>938</v>
      </c>
      <c r="D4" s="31">
        <f t="shared" ref="D4:D9" si="3">D3+0.8</f>
        <v>4.1499999999999995</v>
      </c>
      <c r="E4" s="30">
        <f t="shared" si="1"/>
        <v>110312.59999999999</v>
      </c>
      <c r="F4" s="31">
        <v>0.75</v>
      </c>
      <c r="G4" s="31">
        <v>1.22</v>
      </c>
      <c r="H4" s="31">
        <v>1.35</v>
      </c>
      <c r="I4" s="31">
        <v>1.3</v>
      </c>
      <c r="J4" s="31">
        <v>1.0777000000000001</v>
      </c>
      <c r="K4" s="30">
        <f t="shared" si="0"/>
        <v>190906.72108554153</v>
      </c>
      <c r="L4" s="30">
        <f t="shared" si="2"/>
        <v>1118630.0421710829</v>
      </c>
    </row>
    <row r="5" spans="1:12" ht="30" customHeight="1" x14ac:dyDescent="0.2">
      <c r="A5" s="27" t="s">
        <v>935</v>
      </c>
      <c r="B5" s="27"/>
      <c r="C5" s="27" t="s">
        <v>939</v>
      </c>
      <c r="D5" s="31">
        <f t="shared" si="3"/>
        <v>4.9499999999999993</v>
      </c>
      <c r="E5" s="30">
        <f t="shared" si="1"/>
        <v>110312.59999999999</v>
      </c>
      <c r="F5" s="31">
        <v>0.75</v>
      </c>
      <c r="G5" s="31">
        <v>1.22</v>
      </c>
      <c r="H5" s="31">
        <v>1.35</v>
      </c>
      <c r="I5" s="31">
        <v>1.3</v>
      </c>
      <c r="J5" s="31">
        <v>1.0777000000000001</v>
      </c>
      <c r="K5" s="30">
        <f t="shared" si="0"/>
        <v>190906.72108554153</v>
      </c>
      <c r="L5" s="30">
        <f t="shared" si="2"/>
        <v>1309536.7632566243</v>
      </c>
    </row>
    <row r="6" spans="1:12" ht="30" customHeight="1" x14ac:dyDescent="0.2">
      <c r="A6" s="27" t="s">
        <v>935</v>
      </c>
      <c r="B6" s="27"/>
      <c r="C6" s="27" t="s">
        <v>940</v>
      </c>
      <c r="D6" s="31">
        <f t="shared" si="3"/>
        <v>5.7499999999999991</v>
      </c>
      <c r="E6" s="30">
        <f t="shared" si="1"/>
        <v>110312.59999999999</v>
      </c>
      <c r="F6" s="31">
        <v>0.75</v>
      </c>
      <c r="G6" s="31">
        <v>1.22</v>
      </c>
      <c r="H6" s="31">
        <v>1.35</v>
      </c>
      <c r="I6" s="31">
        <v>1.3</v>
      </c>
      <c r="J6" s="31">
        <v>1.0777000000000001</v>
      </c>
      <c r="K6" s="30">
        <f t="shared" si="0"/>
        <v>190906.72108554153</v>
      </c>
      <c r="L6" s="30">
        <f t="shared" si="2"/>
        <v>1500443.4843421658</v>
      </c>
    </row>
    <row r="7" spans="1:12" ht="30" customHeight="1" x14ac:dyDescent="0.2">
      <c r="A7" s="27" t="s">
        <v>935</v>
      </c>
      <c r="B7" s="27"/>
      <c r="C7" s="27" t="s">
        <v>941</v>
      </c>
      <c r="D7" s="31">
        <f t="shared" si="3"/>
        <v>6.5499999999999989</v>
      </c>
      <c r="E7" s="30">
        <f t="shared" si="1"/>
        <v>110312.59999999999</v>
      </c>
      <c r="F7" s="31">
        <v>0.75</v>
      </c>
      <c r="G7" s="31">
        <v>1.22</v>
      </c>
      <c r="H7" s="31">
        <v>1.35</v>
      </c>
      <c r="I7" s="31">
        <v>1.3</v>
      </c>
      <c r="J7" s="31">
        <v>1.0777000000000001</v>
      </c>
      <c r="K7" s="30">
        <f t="shared" si="0"/>
        <v>190906.72108554153</v>
      </c>
      <c r="L7" s="30">
        <f t="shared" si="2"/>
        <v>1691350.2054277072</v>
      </c>
    </row>
    <row r="8" spans="1:12" ht="30" customHeight="1" x14ac:dyDescent="0.2">
      <c r="A8" s="27" t="s">
        <v>935</v>
      </c>
      <c r="B8" s="27"/>
      <c r="C8" s="27" t="s">
        <v>942</v>
      </c>
      <c r="D8" s="31">
        <f t="shared" si="3"/>
        <v>7.3499999999999988</v>
      </c>
      <c r="E8" s="30">
        <f t="shared" si="1"/>
        <v>110312.59999999999</v>
      </c>
      <c r="F8" s="31">
        <v>0.75</v>
      </c>
      <c r="G8" s="31">
        <v>1.22</v>
      </c>
      <c r="H8" s="31">
        <v>1.35</v>
      </c>
      <c r="I8" s="31">
        <v>1.3</v>
      </c>
      <c r="J8" s="31">
        <v>1.0777000000000001</v>
      </c>
      <c r="K8" s="30">
        <f t="shared" si="0"/>
        <v>190906.72108554153</v>
      </c>
      <c r="L8" s="30">
        <f t="shared" si="2"/>
        <v>1882256.9265132486</v>
      </c>
    </row>
    <row r="9" spans="1:12" ht="30" customHeight="1" x14ac:dyDescent="0.2">
      <c r="A9" s="27" t="s">
        <v>935</v>
      </c>
      <c r="B9" s="27"/>
      <c r="C9" s="27" t="s">
        <v>943</v>
      </c>
      <c r="D9" s="31">
        <f t="shared" si="3"/>
        <v>8.1499999999999986</v>
      </c>
      <c r="E9" s="30">
        <f t="shared" si="1"/>
        <v>110312.59999999999</v>
      </c>
      <c r="F9" s="31">
        <v>0.75</v>
      </c>
      <c r="G9" s="31">
        <v>1.22</v>
      </c>
      <c r="H9" s="31">
        <v>1.35</v>
      </c>
      <c r="I9" s="31">
        <v>1.3</v>
      </c>
      <c r="J9" s="31">
        <v>1.0777000000000001</v>
      </c>
      <c r="K9" s="30">
        <f t="shared" si="0"/>
        <v>190906.72108554153</v>
      </c>
      <c r="L9" s="30">
        <f t="shared" si="2"/>
        <v>2073163.64759879</v>
      </c>
    </row>
    <row r="10" spans="1:12" ht="30" customHeight="1" x14ac:dyDescent="0.2">
      <c r="A10" s="27" t="s">
        <v>935</v>
      </c>
      <c r="B10" s="27"/>
      <c r="C10" s="27" t="s">
        <v>944</v>
      </c>
      <c r="D10" s="31">
        <f>D9+1.317</f>
        <v>9.4669999999999987</v>
      </c>
      <c r="E10" s="30">
        <f t="shared" si="1"/>
        <v>110312.59999999999</v>
      </c>
      <c r="F10" s="31">
        <v>0.75</v>
      </c>
      <c r="G10" s="31">
        <v>1.22</v>
      </c>
      <c r="H10" s="31">
        <v>1.35</v>
      </c>
      <c r="I10" s="31">
        <v>1.3</v>
      </c>
      <c r="J10" s="31">
        <v>1.0777000000000001</v>
      </c>
      <c r="K10" s="30">
        <f t="shared" si="0"/>
        <v>190906.72108554153</v>
      </c>
      <c r="L10" s="30">
        <f t="shared" si="2"/>
        <v>2264070.3686843314</v>
      </c>
    </row>
    <row r="11" spans="1:12" ht="30" customHeight="1" x14ac:dyDescent="0.2">
      <c r="A11" s="27" t="s">
        <v>935</v>
      </c>
      <c r="B11" s="27"/>
      <c r="C11" s="27" t="s">
        <v>945</v>
      </c>
      <c r="D11" s="31">
        <f>D10+0.8</f>
        <v>10.266999999999999</v>
      </c>
      <c r="E11" s="30">
        <f t="shared" si="1"/>
        <v>110312.59999999999</v>
      </c>
      <c r="F11" s="31">
        <v>0.75</v>
      </c>
      <c r="G11" s="31">
        <v>1.22</v>
      </c>
      <c r="H11" s="31">
        <v>1.35</v>
      </c>
      <c r="I11" s="31">
        <v>1.3</v>
      </c>
      <c r="J11" s="31">
        <v>1.0777000000000001</v>
      </c>
      <c r="K11" s="30">
        <f t="shared" si="0"/>
        <v>190906.72108554153</v>
      </c>
      <c r="L11" s="30">
        <f t="shared" si="2"/>
        <v>2454977.0897698728</v>
      </c>
    </row>
    <row r="12" spans="1:12" ht="30" customHeight="1" x14ac:dyDescent="0.2">
      <c r="A12" s="27" t="s">
        <v>935</v>
      </c>
      <c r="B12" s="27"/>
      <c r="C12" s="27" t="s">
        <v>946</v>
      </c>
      <c r="D12" s="31">
        <f>D11+1.317</f>
        <v>11.584</v>
      </c>
      <c r="E12" s="30">
        <f t="shared" si="1"/>
        <v>110312.59999999999</v>
      </c>
      <c r="F12" s="31">
        <v>0.75</v>
      </c>
      <c r="G12" s="31">
        <v>1.22</v>
      </c>
      <c r="H12" s="31">
        <v>1.35</v>
      </c>
      <c r="I12" s="31">
        <v>1.3</v>
      </c>
      <c r="J12" s="31">
        <v>1.0777000000000001</v>
      </c>
      <c r="K12" s="30">
        <f t="shared" si="0"/>
        <v>190906.72108554153</v>
      </c>
      <c r="L12" s="30">
        <f t="shared" si="2"/>
        <v>2645883.8108554143</v>
      </c>
    </row>
    <row r="13" spans="1:12" ht="30" customHeight="1" x14ac:dyDescent="0.2">
      <c r="A13" s="27" t="s">
        <v>935</v>
      </c>
      <c r="B13" s="27"/>
      <c r="C13" s="27" t="s">
        <v>947</v>
      </c>
      <c r="D13" s="31">
        <f>D12+0.8</f>
        <v>12.384</v>
      </c>
      <c r="E13" s="30">
        <f t="shared" si="1"/>
        <v>110312.59999999999</v>
      </c>
      <c r="F13" s="31">
        <v>0.75</v>
      </c>
      <c r="G13" s="31">
        <v>1.22</v>
      </c>
      <c r="H13" s="31">
        <v>1.35</v>
      </c>
      <c r="I13" s="31">
        <v>1.3</v>
      </c>
      <c r="J13" s="31">
        <v>1.0777000000000001</v>
      </c>
      <c r="K13" s="30">
        <f t="shared" si="0"/>
        <v>190906.72108554153</v>
      </c>
      <c r="L13" s="30">
        <f t="shared" si="2"/>
        <v>2836790.5319409557</v>
      </c>
    </row>
    <row r="14" spans="1:12" ht="30" customHeight="1" x14ac:dyDescent="0.2">
      <c r="A14" s="27" t="s">
        <v>935</v>
      </c>
      <c r="B14" s="27"/>
      <c r="C14" s="27" t="s">
        <v>948</v>
      </c>
      <c r="D14" s="31">
        <f>D13+1.317</f>
        <v>13.701000000000001</v>
      </c>
      <c r="E14" s="30">
        <f t="shared" si="1"/>
        <v>110312.59999999999</v>
      </c>
      <c r="F14" s="31">
        <v>0.75</v>
      </c>
      <c r="G14" s="31">
        <v>1.22</v>
      </c>
      <c r="H14" s="31">
        <v>1.35</v>
      </c>
      <c r="I14" s="31">
        <v>1.3</v>
      </c>
      <c r="J14" s="31">
        <v>1.0777000000000001</v>
      </c>
      <c r="K14" s="30">
        <f t="shared" si="0"/>
        <v>190906.72108554153</v>
      </c>
      <c r="L14" s="30">
        <f t="shared" si="2"/>
        <v>3027697.2530264971</v>
      </c>
    </row>
    <row r="15" spans="1:12" ht="30" customHeight="1" x14ac:dyDescent="0.2">
      <c r="A15" s="27" t="s">
        <v>935</v>
      </c>
      <c r="B15" s="27"/>
      <c r="C15" s="27" t="s">
        <v>949</v>
      </c>
      <c r="D15" s="31">
        <f>D14+0.8</f>
        <v>14.501000000000001</v>
      </c>
      <c r="E15" s="30">
        <f t="shared" si="1"/>
        <v>110312.59999999999</v>
      </c>
      <c r="F15" s="31">
        <v>0.75</v>
      </c>
      <c r="G15" s="31">
        <v>1.22</v>
      </c>
      <c r="H15" s="31">
        <v>1.35</v>
      </c>
      <c r="I15" s="31">
        <v>1.3</v>
      </c>
      <c r="J15" s="31">
        <v>1.0777000000000001</v>
      </c>
      <c r="K15" s="30">
        <f t="shared" si="0"/>
        <v>190906.72108554153</v>
      </c>
      <c r="L15" s="30">
        <f t="shared" si="2"/>
        <v>3218603.9741120385</v>
      </c>
    </row>
    <row r="16" spans="1:12" ht="30" customHeight="1" x14ac:dyDescent="0.2">
      <c r="A16" s="27" t="s">
        <v>935</v>
      </c>
      <c r="B16" s="27"/>
      <c r="C16" s="27" t="s">
        <v>950</v>
      </c>
      <c r="D16" s="31">
        <f>D15+1.317</f>
        <v>15.818000000000001</v>
      </c>
      <c r="E16" s="30">
        <f t="shared" si="1"/>
        <v>110312.59999999999</v>
      </c>
      <c r="F16" s="31">
        <v>0.75</v>
      </c>
      <c r="G16" s="31">
        <v>1.22</v>
      </c>
      <c r="H16" s="31">
        <v>1.35</v>
      </c>
      <c r="I16" s="31">
        <v>1.3</v>
      </c>
      <c r="J16" s="31">
        <v>1.0777000000000001</v>
      </c>
      <c r="K16" s="30">
        <f t="shared" si="0"/>
        <v>190906.72108554153</v>
      </c>
      <c r="L16" s="30">
        <f t="shared" si="2"/>
        <v>3409510.6951975799</v>
      </c>
    </row>
    <row r="17" spans="1:12" ht="30" customHeight="1" x14ac:dyDescent="0.2">
      <c r="A17" s="27" t="s">
        <v>935</v>
      </c>
      <c r="B17" s="27"/>
      <c r="C17" s="27" t="s">
        <v>951</v>
      </c>
      <c r="D17" s="31">
        <f>D16+0.8</f>
        <v>16.618000000000002</v>
      </c>
      <c r="E17" s="30">
        <f t="shared" si="1"/>
        <v>110312.59999999999</v>
      </c>
      <c r="F17" s="31">
        <v>0.75</v>
      </c>
      <c r="G17" s="31">
        <v>1.22</v>
      </c>
      <c r="H17" s="31">
        <v>1.35</v>
      </c>
      <c r="I17" s="31">
        <v>1.3</v>
      </c>
      <c r="J17" s="31">
        <v>1.0777000000000001</v>
      </c>
      <c r="K17" s="30">
        <f t="shared" si="0"/>
        <v>190906.72108554153</v>
      </c>
      <c r="L17" s="65">
        <f t="shared" si="2"/>
        <v>3600417.4162831213</v>
      </c>
    </row>
    <row r="18" spans="1:12" ht="30" customHeight="1" x14ac:dyDescent="0.2">
      <c r="A18" s="27" t="s">
        <v>952</v>
      </c>
      <c r="B18" s="27"/>
      <c r="C18" s="27" t="s">
        <v>953</v>
      </c>
      <c r="D18" s="31">
        <v>0.216</v>
      </c>
      <c r="E18" s="30">
        <v>87799</v>
      </c>
      <c r="F18" s="31"/>
      <c r="G18" s="31"/>
      <c r="H18" s="31">
        <v>1.35</v>
      </c>
      <c r="I18" s="31">
        <v>1.3</v>
      </c>
      <c r="J18" s="31"/>
      <c r="K18" s="30">
        <f t="shared" si="0"/>
        <v>154087.24500000002</v>
      </c>
      <c r="L18" s="30">
        <f>K18</f>
        <v>154087.24500000002</v>
      </c>
    </row>
    <row r="19" spans="1:12" ht="30" customHeight="1" x14ac:dyDescent="0.2">
      <c r="A19" s="27" t="s">
        <v>952</v>
      </c>
      <c r="B19" s="27"/>
      <c r="C19" s="27" t="s">
        <v>936</v>
      </c>
      <c r="D19" s="31">
        <f>1.7+0.05</f>
        <v>1.75</v>
      </c>
      <c r="E19" s="30">
        <v>566782</v>
      </c>
      <c r="F19" s="31"/>
      <c r="G19" s="31"/>
      <c r="H19" s="31"/>
      <c r="I19" s="31">
        <v>1.3</v>
      </c>
      <c r="J19" s="31"/>
      <c r="K19" s="30">
        <f t="shared" si="0"/>
        <v>736816.6</v>
      </c>
      <c r="L19" s="30">
        <f t="shared" ref="L19:L20" si="4">L18+K19</f>
        <v>890903.84499999997</v>
      </c>
    </row>
    <row r="20" spans="1:12" ht="30" customHeight="1" x14ac:dyDescent="0.2">
      <c r="A20" s="27" t="s">
        <v>952</v>
      </c>
      <c r="B20" s="27"/>
      <c r="C20" s="27" t="s">
        <v>954</v>
      </c>
      <c r="D20" s="31">
        <v>2.7</v>
      </c>
      <c r="E20" s="30">
        <v>1071</v>
      </c>
      <c r="F20" s="31">
        <v>1.1499999999999999</v>
      </c>
      <c r="G20" s="31">
        <v>1.22</v>
      </c>
      <c r="H20" s="31">
        <v>1.35</v>
      </c>
      <c r="I20" s="31">
        <v>1.3</v>
      </c>
      <c r="J20" s="31">
        <v>1.0777000000000001</v>
      </c>
      <c r="K20" s="30">
        <f t="shared" si="0"/>
        <v>2841.9873828255004</v>
      </c>
      <c r="L20" s="30">
        <f t="shared" si="4"/>
        <v>893745.83238282544</v>
      </c>
    </row>
    <row r="21" spans="1:12" ht="30" customHeight="1" x14ac:dyDescent="0.2">
      <c r="A21" s="27" t="s">
        <v>952</v>
      </c>
      <c r="B21" s="27"/>
      <c r="C21" s="27" t="s">
        <v>955</v>
      </c>
      <c r="D21" s="31">
        <v>3.633</v>
      </c>
      <c r="E21" s="30">
        <v>95924</v>
      </c>
      <c r="F21" s="31">
        <v>1.2889999999999999</v>
      </c>
      <c r="G21" s="31">
        <v>1.22</v>
      </c>
      <c r="H21" s="31">
        <v>1.35</v>
      </c>
      <c r="I21" s="31">
        <v>1.3</v>
      </c>
      <c r="J21" s="31">
        <v>1.0777000000000001</v>
      </c>
      <c r="K21" s="30">
        <f t="shared" si="0"/>
        <v>285308.71128030494</v>
      </c>
      <c r="L21" s="30">
        <f>L19+K21</f>
        <v>1176212.5562803049</v>
      </c>
    </row>
    <row r="22" spans="1:12" ht="30" customHeight="1" x14ac:dyDescent="0.2">
      <c r="A22" s="27" t="s">
        <v>952</v>
      </c>
      <c r="B22" s="27"/>
      <c r="C22" s="27" t="s">
        <v>956</v>
      </c>
      <c r="D22" s="31">
        <f>D21+1.183</f>
        <v>4.8159999999999998</v>
      </c>
      <c r="E22" s="30">
        <v>95924</v>
      </c>
      <c r="F22" s="31">
        <v>1.2889999999999999</v>
      </c>
      <c r="G22" s="31">
        <v>1.22</v>
      </c>
      <c r="H22" s="31">
        <v>1.35</v>
      </c>
      <c r="I22" s="31">
        <v>1.3</v>
      </c>
      <c r="J22" s="31">
        <v>1.0777000000000001</v>
      </c>
      <c r="K22" s="30">
        <f t="shared" si="0"/>
        <v>285308.71128030494</v>
      </c>
      <c r="L22" s="30">
        <f t="shared" ref="L22:L29" si="5">L21+K22</f>
        <v>1461521.2675606098</v>
      </c>
    </row>
    <row r="23" spans="1:12" ht="30" customHeight="1" x14ac:dyDescent="0.2">
      <c r="A23" s="27" t="s">
        <v>952</v>
      </c>
      <c r="B23" s="27"/>
      <c r="C23" s="27" t="s">
        <v>957</v>
      </c>
      <c r="D23" s="31">
        <f t="shared" ref="D23:D29" si="6">D22+1.317</f>
        <v>6.133</v>
      </c>
      <c r="E23" s="30">
        <v>95924</v>
      </c>
      <c r="F23" s="31">
        <v>1.2889999999999999</v>
      </c>
      <c r="G23" s="31">
        <v>1.22</v>
      </c>
      <c r="H23" s="31">
        <v>1.35</v>
      </c>
      <c r="I23" s="31">
        <v>1.3</v>
      </c>
      <c r="J23" s="31">
        <v>1.0777000000000001</v>
      </c>
      <c r="K23" s="30">
        <f t="shared" si="0"/>
        <v>285308.71128030494</v>
      </c>
      <c r="L23" s="30">
        <f t="shared" si="5"/>
        <v>1746829.9788409148</v>
      </c>
    </row>
    <row r="24" spans="1:12" ht="30" customHeight="1" x14ac:dyDescent="0.2">
      <c r="A24" s="27" t="s">
        <v>952</v>
      </c>
      <c r="B24" s="27"/>
      <c r="C24" s="27" t="s">
        <v>958</v>
      </c>
      <c r="D24" s="31">
        <f t="shared" si="6"/>
        <v>7.45</v>
      </c>
      <c r="E24" s="30">
        <v>95924</v>
      </c>
      <c r="F24" s="31">
        <v>1.2889999999999999</v>
      </c>
      <c r="G24" s="31">
        <v>1.22</v>
      </c>
      <c r="H24" s="31">
        <v>1.35</v>
      </c>
      <c r="I24" s="31">
        <v>1.3</v>
      </c>
      <c r="J24" s="31">
        <v>1.0777000000000001</v>
      </c>
      <c r="K24" s="30">
        <f t="shared" si="0"/>
        <v>285308.71128030494</v>
      </c>
      <c r="L24" s="30">
        <f t="shared" si="5"/>
        <v>2032138.6901212197</v>
      </c>
    </row>
    <row r="25" spans="1:12" ht="30" customHeight="1" x14ac:dyDescent="0.2">
      <c r="A25" s="27" t="s">
        <v>952</v>
      </c>
      <c r="B25" s="27"/>
      <c r="C25" s="27" t="s">
        <v>959</v>
      </c>
      <c r="D25" s="31">
        <f t="shared" si="6"/>
        <v>8.7669999999999995</v>
      </c>
      <c r="E25" s="30">
        <v>95924</v>
      </c>
      <c r="F25" s="31">
        <v>1.2889999999999999</v>
      </c>
      <c r="G25" s="31">
        <v>1.22</v>
      </c>
      <c r="H25" s="31">
        <v>1.35</v>
      </c>
      <c r="I25" s="31">
        <v>1.3</v>
      </c>
      <c r="J25" s="31">
        <v>1.0777000000000001</v>
      </c>
      <c r="K25" s="30">
        <f t="shared" si="0"/>
        <v>285308.71128030494</v>
      </c>
      <c r="L25" s="30">
        <f t="shared" si="5"/>
        <v>2317447.4014015244</v>
      </c>
    </row>
    <row r="26" spans="1:12" ht="30" customHeight="1" x14ac:dyDescent="0.2">
      <c r="A26" s="27" t="s">
        <v>952</v>
      </c>
      <c r="B26" s="27"/>
      <c r="C26" s="27" t="s">
        <v>960</v>
      </c>
      <c r="D26" s="31">
        <f t="shared" si="6"/>
        <v>10.084</v>
      </c>
      <c r="E26" s="30">
        <v>95924</v>
      </c>
      <c r="F26" s="31">
        <v>1.2889999999999999</v>
      </c>
      <c r="G26" s="31">
        <v>1.22</v>
      </c>
      <c r="H26" s="31">
        <v>1.35</v>
      </c>
      <c r="I26" s="31">
        <v>1.3</v>
      </c>
      <c r="J26" s="31">
        <v>1.0777000000000001</v>
      </c>
      <c r="K26" s="30">
        <f t="shared" si="0"/>
        <v>285308.71128030494</v>
      </c>
      <c r="L26" s="30">
        <f t="shared" si="5"/>
        <v>2602756.1126818294</v>
      </c>
    </row>
    <row r="27" spans="1:12" ht="30" customHeight="1" x14ac:dyDescent="0.2">
      <c r="A27" s="27" t="s">
        <v>952</v>
      </c>
      <c r="B27" s="27"/>
      <c r="C27" s="27" t="s">
        <v>961</v>
      </c>
      <c r="D27" s="31">
        <f t="shared" si="6"/>
        <v>11.401</v>
      </c>
      <c r="E27" s="30">
        <v>95924</v>
      </c>
      <c r="F27" s="31">
        <v>1.2889999999999999</v>
      </c>
      <c r="G27" s="31">
        <v>1.22</v>
      </c>
      <c r="H27" s="31">
        <v>1.35</v>
      </c>
      <c r="I27" s="31">
        <v>1.3</v>
      </c>
      <c r="J27" s="31">
        <v>1.0777000000000001</v>
      </c>
      <c r="K27" s="30">
        <f t="shared" si="0"/>
        <v>285308.71128030494</v>
      </c>
      <c r="L27" s="30">
        <f t="shared" si="5"/>
        <v>2888064.8239621343</v>
      </c>
    </row>
    <row r="28" spans="1:12" ht="30" customHeight="1" x14ac:dyDescent="0.2">
      <c r="A28" s="27" t="s">
        <v>952</v>
      </c>
      <c r="B28" s="27"/>
      <c r="C28" s="27" t="s">
        <v>962</v>
      </c>
      <c r="D28" s="31">
        <f t="shared" si="6"/>
        <v>12.718</v>
      </c>
      <c r="E28" s="30">
        <v>95924</v>
      </c>
      <c r="F28" s="31">
        <v>1.2889999999999999</v>
      </c>
      <c r="G28" s="31">
        <v>1.22</v>
      </c>
      <c r="H28" s="31">
        <v>1.35</v>
      </c>
      <c r="I28" s="31">
        <v>1.3</v>
      </c>
      <c r="J28" s="31">
        <v>1.0777000000000001</v>
      </c>
      <c r="K28" s="30">
        <f t="shared" si="0"/>
        <v>285308.71128030494</v>
      </c>
      <c r="L28" s="30">
        <f t="shared" si="5"/>
        <v>3173373.5352424392</v>
      </c>
    </row>
    <row r="29" spans="1:12" ht="30" customHeight="1" x14ac:dyDescent="0.2">
      <c r="A29" s="27" t="s">
        <v>952</v>
      </c>
      <c r="B29" s="27"/>
      <c r="C29" s="27" t="s">
        <v>963</v>
      </c>
      <c r="D29" s="31">
        <f t="shared" si="6"/>
        <v>14.035</v>
      </c>
      <c r="E29" s="30">
        <v>95924</v>
      </c>
      <c r="F29" s="31">
        <v>1.2889999999999999</v>
      </c>
      <c r="G29" s="31">
        <v>1.22</v>
      </c>
      <c r="H29" s="31">
        <v>1.35</v>
      </c>
      <c r="I29" s="31">
        <v>1.3</v>
      </c>
      <c r="J29" s="31">
        <v>1.0777000000000001</v>
      </c>
      <c r="K29" s="30">
        <f t="shared" si="0"/>
        <v>285308.71128030494</v>
      </c>
      <c r="L29" s="65">
        <f t="shared" si="5"/>
        <v>3458682.2465227442</v>
      </c>
    </row>
    <row r="30" spans="1:12" ht="30" customHeight="1" x14ac:dyDescent="0.2">
      <c r="A30" s="27" t="s">
        <v>964</v>
      </c>
      <c r="B30" s="27"/>
      <c r="C30" s="27" t="s">
        <v>953</v>
      </c>
      <c r="D30" s="31">
        <v>0.216</v>
      </c>
      <c r="E30" s="30">
        <v>87799</v>
      </c>
      <c r="F30" s="31"/>
      <c r="G30" s="31"/>
      <c r="H30" s="31">
        <v>1.35</v>
      </c>
      <c r="I30" s="31">
        <v>1.3</v>
      </c>
      <c r="J30" s="31"/>
      <c r="K30" s="30">
        <f t="shared" si="0"/>
        <v>154087.24500000002</v>
      </c>
      <c r="L30" s="30">
        <f>K30</f>
        <v>154087.24500000002</v>
      </c>
    </row>
    <row r="31" spans="1:12" ht="30" customHeight="1" x14ac:dyDescent="0.2">
      <c r="A31" s="27" t="s">
        <v>964</v>
      </c>
      <c r="B31" s="27"/>
      <c r="C31" s="27" t="s">
        <v>936</v>
      </c>
      <c r="D31" s="31">
        <f>1.7+0.05</f>
        <v>1.75</v>
      </c>
      <c r="E31" s="30">
        <v>566782</v>
      </c>
      <c r="F31" s="31"/>
      <c r="G31" s="31"/>
      <c r="H31" s="31"/>
      <c r="I31" s="31">
        <v>1.3</v>
      </c>
      <c r="J31" s="31"/>
      <c r="K31" s="30">
        <f t="shared" si="0"/>
        <v>736816.6</v>
      </c>
      <c r="L31" s="30">
        <f t="shared" ref="L31:L32" si="7">L30+K31</f>
        <v>890903.84499999997</v>
      </c>
    </row>
    <row r="32" spans="1:12" ht="30" customHeight="1" x14ac:dyDescent="0.2">
      <c r="A32" s="27" t="s">
        <v>964</v>
      </c>
      <c r="B32" s="27"/>
      <c r="C32" s="27" t="s">
        <v>954</v>
      </c>
      <c r="D32" s="31">
        <v>2.7</v>
      </c>
      <c r="E32" s="30">
        <v>1071</v>
      </c>
      <c r="F32" s="31">
        <v>1.1499999999999999</v>
      </c>
      <c r="G32" s="31">
        <v>1.22</v>
      </c>
      <c r="H32" s="31">
        <v>1.35</v>
      </c>
      <c r="I32" s="31">
        <v>1.3</v>
      </c>
      <c r="J32" s="31">
        <v>1.0777000000000001</v>
      </c>
      <c r="K32" s="30">
        <f t="shared" si="0"/>
        <v>2841.9873828255004</v>
      </c>
      <c r="L32" s="30">
        <f t="shared" si="7"/>
        <v>893745.83238282544</v>
      </c>
    </row>
    <row r="33" spans="1:12" ht="30" customHeight="1" x14ac:dyDescent="0.2">
      <c r="A33" s="27" t="s">
        <v>964</v>
      </c>
      <c r="B33" s="27"/>
      <c r="C33" s="27" t="s">
        <v>965</v>
      </c>
      <c r="D33" s="31">
        <v>3.633</v>
      </c>
      <c r="E33" s="30">
        <f t="shared" ref="E33:E42" si="8">95924*1.15</f>
        <v>110312.59999999999</v>
      </c>
      <c r="F33" s="31">
        <v>1.2889999999999999</v>
      </c>
      <c r="G33" s="31">
        <v>1.22</v>
      </c>
      <c r="H33" s="31">
        <v>1.35</v>
      </c>
      <c r="I33" s="31">
        <v>1.3</v>
      </c>
      <c r="J33" s="31">
        <v>1.0777000000000001</v>
      </c>
      <c r="K33" s="30">
        <f t="shared" si="0"/>
        <v>328105.01797235064</v>
      </c>
      <c r="L33" s="30">
        <f>K33+L31</f>
        <v>1219008.8629723506</v>
      </c>
    </row>
    <row r="34" spans="1:12" ht="30" customHeight="1" x14ac:dyDescent="0.2">
      <c r="A34" s="27" t="s">
        <v>964</v>
      </c>
      <c r="B34" s="27"/>
      <c r="C34" s="27" t="s">
        <v>966</v>
      </c>
      <c r="D34" s="31">
        <f t="shared" ref="D34:D36" si="9">D33+1.1</f>
        <v>4.7330000000000005</v>
      </c>
      <c r="E34" s="30">
        <f t="shared" si="8"/>
        <v>110312.59999999999</v>
      </c>
      <c r="F34" s="31">
        <v>1.2889999999999999</v>
      </c>
      <c r="G34" s="31">
        <v>1.22</v>
      </c>
      <c r="H34" s="31">
        <v>1.35</v>
      </c>
      <c r="I34" s="31">
        <v>1.3</v>
      </c>
      <c r="J34" s="31">
        <v>1.0777000000000001</v>
      </c>
      <c r="K34" s="30">
        <f t="shared" si="0"/>
        <v>328105.01797235064</v>
      </c>
      <c r="L34" s="30">
        <f t="shared" ref="L34:L42" si="10">L33+K34</f>
        <v>1547113.8809447011</v>
      </c>
    </row>
    <row r="35" spans="1:12" ht="30" customHeight="1" x14ac:dyDescent="0.2">
      <c r="A35" s="27" t="s">
        <v>964</v>
      </c>
      <c r="B35" s="27"/>
      <c r="C35" s="27" t="s">
        <v>967</v>
      </c>
      <c r="D35" s="31">
        <f t="shared" si="9"/>
        <v>5.8330000000000002</v>
      </c>
      <c r="E35" s="30">
        <f t="shared" si="8"/>
        <v>110312.59999999999</v>
      </c>
      <c r="F35" s="31">
        <v>1.2889999999999999</v>
      </c>
      <c r="G35" s="31">
        <v>1.22</v>
      </c>
      <c r="H35" s="31">
        <v>1.35</v>
      </c>
      <c r="I35" s="31">
        <v>1.3</v>
      </c>
      <c r="J35" s="31">
        <v>1.0777000000000001</v>
      </c>
      <c r="K35" s="30">
        <f t="shared" si="0"/>
        <v>328105.01797235064</v>
      </c>
      <c r="L35" s="30">
        <f t="shared" si="10"/>
        <v>1875218.8989170517</v>
      </c>
    </row>
    <row r="36" spans="1:12" ht="30" customHeight="1" x14ac:dyDescent="0.2">
      <c r="A36" s="27" t="s">
        <v>964</v>
      </c>
      <c r="B36" s="27"/>
      <c r="C36" s="27" t="s">
        <v>968</v>
      </c>
      <c r="D36" s="31">
        <f t="shared" si="9"/>
        <v>6.9329999999999998</v>
      </c>
      <c r="E36" s="30">
        <f t="shared" si="8"/>
        <v>110312.59999999999</v>
      </c>
      <c r="F36" s="31">
        <v>1.2889999999999999</v>
      </c>
      <c r="G36" s="31">
        <v>1.22</v>
      </c>
      <c r="H36" s="31">
        <v>1.35</v>
      </c>
      <c r="I36" s="31">
        <v>1.3</v>
      </c>
      <c r="J36" s="31">
        <v>1.0777000000000001</v>
      </c>
      <c r="K36" s="30">
        <f t="shared" si="0"/>
        <v>328105.01797235064</v>
      </c>
      <c r="L36" s="30">
        <f t="shared" si="10"/>
        <v>2203323.9168894025</v>
      </c>
    </row>
    <row r="37" spans="1:12" ht="30" customHeight="1" x14ac:dyDescent="0.2">
      <c r="A37" s="27" t="s">
        <v>964</v>
      </c>
      <c r="B37" s="27"/>
      <c r="C37" s="27" t="s">
        <v>969</v>
      </c>
      <c r="D37" s="31">
        <f t="shared" ref="D37:D42" si="11">D36+1.317</f>
        <v>8.25</v>
      </c>
      <c r="E37" s="30">
        <f t="shared" si="8"/>
        <v>110312.59999999999</v>
      </c>
      <c r="F37" s="31">
        <v>1.2889999999999999</v>
      </c>
      <c r="G37" s="31">
        <v>1.22</v>
      </c>
      <c r="H37" s="31">
        <v>1.35</v>
      </c>
      <c r="I37" s="31">
        <v>1.3</v>
      </c>
      <c r="J37" s="31">
        <v>1.0777000000000001</v>
      </c>
      <c r="K37" s="30">
        <f t="shared" si="0"/>
        <v>328105.01797235064</v>
      </c>
      <c r="L37" s="30">
        <f t="shared" si="10"/>
        <v>2531428.9348617531</v>
      </c>
    </row>
    <row r="38" spans="1:12" ht="30" customHeight="1" x14ac:dyDescent="0.2">
      <c r="A38" s="27" t="s">
        <v>964</v>
      </c>
      <c r="B38" s="27"/>
      <c r="C38" s="27" t="s">
        <v>970</v>
      </c>
      <c r="D38" s="31">
        <f t="shared" si="11"/>
        <v>9.5670000000000002</v>
      </c>
      <c r="E38" s="30">
        <f t="shared" si="8"/>
        <v>110312.59999999999</v>
      </c>
      <c r="F38" s="31">
        <v>1.2889999999999999</v>
      </c>
      <c r="G38" s="31">
        <v>1.22</v>
      </c>
      <c r="H38" s="31">
        <v>1.35</v>
      </c>
      <c r="I38" s="31">
        <v>1.3</v>
      </c>
      <c r="J38" s="31">
        <v>1.0777000000000001</v>
      </c>
      <c r="K38" s="30">
        <f t="shared" si="0"/>
        <v>328105.01797235064</v>
      </c>
      <c r="L38" s="30">
        <f t="shared" si="10"/>
        <v>2859533.9528341037</v>
      </c>
    </row>
    <row r="39" spans="1:12" ht="30" customHeight="1" x14ac:dyDescent="0.2">
      <c r="A39" s="27" t="s">
        <v>964</v>
      </c>
      <c r="B39" s="27"/>
      <c r="C39" s="27" t="s">
        <v>971</v>
      </c>
      <c r="D39" s="31">
        <f t="shared" si="11"/>
        <v>10.884</v>
      </c>
      <c r="E39" s="30">
        <f t="shared" si="8"/>
        <v>110312.59999999999</v>
      </c>
      <c r="F39" s="31">
        <v>1.2889999999999999</v>
      </c>
      <c r="G39" s="31">
        <v>1.22</v>
      </c>
      <c r="H39" s="31">
        <v>1.35</v>
      </c>
      <c r="I39" s="31">
        <v>1.3</v>
      </c>
      <c r="J39" s="31">
        <v>1.0777000000000001</v>
      </c>
      <c r="K39" s="30">
        <f t="shared" si="0"/>
        <v>328105.01797235064</v>
      </c>
      <c r="L39" s="30">
        <f t="shared" si="10"/>
        <v>3187638.9708064543</v>
      </c>
    </row>
    <row r="40" spans="1:12" ht="30" customHeight="1" x14ac:dyDescent="0.2">
      <c r="A40" s="27" t="s">
        <v>964</v>
      </c>
      <c r="B40" s="27"/>
      <c r="C40" s="27" t="s">
        <v>972</v>
      </c>
      <c r="D40" s="31">
        <f t="shared" si="11"/>
        <v>12.201000000000001</v>
      </c>
      <c r="E40" s="30">
        <f t="shared" si="8"/>
        <v>110312.59999999999</v>
      </c>
      <c r="F40" s="31">
        <v>1.2889999999999999</v>
      </c>
      <c r="G40" s="31">
        <v>1.22</v>
      </c>
      <c r="H40" s="31">
        <v>1.35</v>
      </c>
      <c r="I40" s="31">
        <v>1.3</v>
      </c>
      <c r="J40" s="31">
        <v>1.0777000000000001</v>
      </c>
      <c r="K40" s="30">
        <f t="shared" si="0"/>
        <v>328105.01797235064</v>
      </c>
      <c r="L40" s="30">
        <f t="shared" si="10"/>
        <v>3515743.9887788049</v>
      </c>
    </row>
    <row r="41" spans="1:12" ht="30" customHeight="1" x14ac:dyDescent="0.2">
      <c r="A41" s="27" t="s">
        <v>964</v>
      </c>
      <c r="B41" s="27"/>
      <c r="C41" s="27" t="s">
        <v>973</v>
      </c>
      <c r="D41" s="31">
        <f t="shared" si="11"/>
        <v>13.518000000000001</v>
      </c>
      <c r="E41" s="30">
        <f t="shared" si="8"/>
        <v>110312.59999999999</v>
      </c>
      <c r="F41" s="31">
        <v>1.2889999999999999</v>
      </c>
      <c r="G41" s="31">
        <v>1.22</v>
      </c>
      <c r="H41" s="31">
        <v>1.35</v>
      </c>
      <c r="I41" s="31">
        <v>1.3</v>
      </c>
      <c r="J41" s="31">
        <v>1.0777000000000001</v>
      </c>
      <c r="K41" s="30">
        <f t="shared" si="0"/>
        <v>328105.01797235064</v>
      </c>
      <c r="L41" s="30">
        <f t="shared" si="10"/>
        <v>3843849.0067511555</v>
      </c>
    </row>
    <row r="42" spans="1:12" ht="30" customHeight="1" x14ac:dyDescent="0.2">
      <c r="A42" s="27" t="s">
        <v>964</v>
      </c>
      <c r="B42" s="27"/>
      <c r="C42" s="27" t="s">
        <v>974</v>
      </c>
      <c r="D42" s="31">
        <f t="shared" si="11"/>
        <v>14.835000000000001</v>
      </c>
      <c r="E42" s="30">
        <f t="shared" si="8"/>
        <v>110312.59999999999</v>
      </c>
      <c r="F42" s="31"/>
      <c r="G42" s="31">
        <v>1.22</v>
      </c>
      <c r="H42" s="31">
        <v>1.35</v>
      </c>
      <c r="I42" s="31">
        <v>1.3</v>
      </c>
      <c r="J42" s="31">
        <v>1.0777000000000001</v>
      </c>
      <c r="K42" s="30">
        <f t="shared" si="0"/>
        <v>254542.294780722</v>
      </c>
      <c r="L42" s="65">
        <f t="shared" si="10"/>
        <v>4098391.3015318774</v>
      </c>
    </row>
    <row r="43" spans="1:12" ht="30" customHeight="1" x14ac:dyDescent="0.2">
      <c r="A43" s="27" t="s">
        <v>975</v>
      </c>
      <c r="B43" s="27"/>
      <c r="C43" s="27" t="s">
        <v>936</v>
      </c>
      <c r="D43" s="31">
        <v>1.7</v>
      </c>
      <c r="E43" s="30">
        <v>566782</v>
      </c>
      <c r="F43" s="31"/>
      <c r="G43" s="31"/>
      <c r="H43" s="31"/>
      <c r="I43" s="31">
        <v>1.3</v>
      </c>
      <c r="J43" s="31"/>
      <c r="K43" s="30">
        <f t="shared" si="0"/>
        <v>736816.6</v>
      </c>
      <c r="L43" s="30">
        <f>K43</f>
        <v>736816.6</v>
      </c>
    </row>
    <row r="44" spans="1:12" ht="30" customHeight="1" x14ac:dyDescent="0.2">
      <c r="A44" s="27" t="s">
        <v>975</v>
      </c>
      <c r="B44" s="27"/>
      <c r="C44" s="27" t="s">
        <v>976</v>
      </c>
      <c r="D44" s="31">
        <v>2.4</v>
      </c>
      <c r="E44" s="30">
        <f>ROUND(92178*1.25,0)</f>
        <v>115223</v>
      </c>
      <c r="F44" s="31"/>
      <c r="G44" s="31"/>
      <c r="H44" s="31">
        <v>1.35</v>
      </c>
      <c r="I44" s="31">
        <v>1.3</v>
      </c>
      <c r="J44" s="31"/>
      <c r="K44" s="30">
        <f t="shared" si="0"/>
        <v>202216.36500000002</v>
      </c>
      <c r="L44" s="30">
        <f t="shared" ref="L44:L67" si="12">L43+K44</f>
        <v>939032.96499999997</v>
      </c>
    </row>
    <row r="45" spans="1:12" ht="30" customHeight="1" x14ac:dyDescent="0.2">
      <c r="A45" s="27" t="s">
        <v>975</v>
      </c>
      <c r="B45" s="27"/>
      <c r="C45" s="27" t="s">
        <v>977</v>
      </c>
      <c r="D45" s="31">
        <v>3.85</v>
      </c>
      <c r="E45" s="30">
        <v>47067</v>
      </c>
      <c r="F45" s="31">
        <v>1.47</v>
      </c>
      <c r="G45" s="31">
        <v>1.22</v>
      </c>
      <c r="H45" s="31">
        <v>1.35</v>
      </c>
      <c r="I45" s="31">
        <v>1.3</v>
      </c>
      <c r="J45" s="31">
        <v>1.0777000000000001</v>
      </c>
      <c r="K45" s="30">
        <f t="shared" si="0"/>
        <v>159649.91321946034</v>
      </c>
      <c r="L45" s="30">
        <f t="shared" si="12"/>
        <v>1098682.8782194604</v>
      </c>
    </row>
    <row r="46" spans="1:12" ht="30" customHeight="1" x14ac:dyDescent="0.2">
      <c r="A46" s="27" t="s">
        <v>975</v>
      </c>
      <c r="B46" s="27"/>
      <c r="C46" s="27" t="s">
        <v>978</v>
      </c>
      <c r="D46" s="31">
        <f t="shared" ref="D46:D57" si="13">D45+1.383</f>
        <v>5.2330000000000005</v>
      </c>
      <c r="E46" s="30">
        <v>47067</v>
      </c>
      <c r="F46" s="31">
        <v>1.47</v>
      </c>
      <c r="G46" s="31">
        <v>1.22</v>
      </c>
      <c r="H46" s="31">
        <v>1.35</v>
      </c>
      <c r="I46" s="31">
        <v>1.3</v>
      </c>
      <c r="J46" s="31">
        <v>1.0777000000000001</v>
      </c>
      <c r="K46" s="30">
        <f t="shared" si="0"/>
        <v>159649.91321946034</v>
      </c>
      <c r="L46" s="30">
        <f t="shared" si="12"/>
        <v>1258332.7914389207</v>
      </c>
    </row>
    <row r="47" spans="1:12" ht="30" customHeight="1" x14ac:dyDescent="0.2">
      <c r="A47" s="27" t="s">
        <v>975</v>
      </c>
      <c r="B47" s="27"/>
      <c r="C47" s="27" t="s">
        <v>979</v>
      </c>
      <c r="D47" s="31">
        <f t="shared" si="13"/>
        <v>6.6160000000000005</v>
      </c>
      <c r="E47" s="30">
        <v>47067</v>
      </c>
      <c r="F47" s="31">
        <v>1.47</v>
      </c>
      <c r="G47" s="31">
        <v>1.22</v>
      </c>
      <c r="H47" s="31">
        <v>1.35</v>
      </c>
      <c r="I47" s="31">
        <v>1.3</v>
      </c>
      <c r="J47" s="31">
        <v>1.0777000000000001</v>
      </c>
      <c r="K47" s="30">
        <f t="shared" si="0"/>
        <v>159649.91321946034</v>
      </c>
      <c r="L47" s="30">
        <f t="shared" si="12"/>
        <v>1417982.7046583809</v>
      </c>
    </row>
    <row r="48" spans="1:12" ht="30" customHeight="1" x14ac:dyDescent="0.2">
      <c r="A48" s="27" t="s">
        <v>975</v>
      </c>
      <c r="B48" s="27"/>
      <c r="C48" s="27" t="s">
        <v>980</v>
      </c>
      <c r="D48" s="31">
        <f t="shared" si="13"/>
        <v>7.9990000000000006</v>
      </c>
      <c r="E48" s="30">
        <v>47067</v>
      </c>
      <c r="F48" s="31">
        <v>1.47</v>
      </c>
      <c r="G48" s="31">
        <v>1.22</v>
      </c>
      <c r="H48" s="31">
        <v>1.35</v>
      </c>
      <c r="I48" s="31">
        <v>1.3</v>
      </c>
      <c r="J48" s="31">
        <v>1.0777000000000001</v>
      </c>
      <c r="K48" s="30">
        <f t="shared" si="0"/>
        <v>159649.91321946034</v>
      </c>
      <c r="L48" s="30">
        <f t="shared" si="12"/>
        <v>1577632.6178778412</v>
      </c>
    </row>
    <row r="49" spans="1:12" ht="30" customHeight="1" x14ac:dyDescent="0.2">
      <c r="A49" s="27" t="s">
        <v>975</v>
      </c>
      <c r="B49" s="27"/>
      <c r="C49" s="27" t="s">
        <v>981</v>
      </c>
      <c r="D49" s="31">
        <f t="shared" si="13"/>
        <v>9.3820000000000014</v>
      </c>
      <c r="E49" s="30">
        <v>47067</v>
      </c>
      <c r="F49" s="31">
        <v>1.47</v>
      </c>
      <c r="G49" s="31">
        <v>1.22</v>
      </c>
      <c r="H49" s="31">
        <v>1.35</v>
      </c>
      <c r="I49" s="31">
        <v>1.3</v>
      </c>
      <c r="J49" s="31">
        <v>1.0777000000000001</v>
      </c>
      <c r="K49" s="30">
        <f t="shared" si="0"/>
        <v>159649.91321946034</v>
      </c>
      <c r="L49" s="30">
        <f t="shared" si="12"/>
        <v>1737282.5310973015</v>
      </c>
    </row>
    <row r="50" spans="1:12" ht="30" customHeight="1" x14ac:dyDescent="0.2">
      <c r="A50" s="27" t="s">
        <v>975</v>
      </c>
      <c r="B50" s="27"/>
      <c r="C50" s="27" t="s">
        <v>982</v>
      </c>
      <c r="D50" s="31">
        <f t="shared" si="13"/>
        <v>10.765000000000001</v>
      </c>
      <c r="E50" s="30">
        <v>47067</v>
      </c>
      <c r="F50" s="31">
        <v>1.47</v>
      </c>
      <c r="G50" s="31">
        <v>1.22</v>
      </c>
      <c r="H50" s="31">
        <v>1.35</v>
      </c>
      <c r="I50" s="31">
        <v>1.3</v>
      </c>
      <c r="J50" s="31">
        <v>1.0777000000000001</v>
      </c>
      <c r="K50" s="30">
        <f t="shared" si="0"/>
        <v>159649.91321946034</v>
      </c>
      <c r="L50" s="30">
        <f t="shared" si="12"/>
        <v>1896932.4443167618</v>
      </c>
    </row>
    <row r="51" spans="1:12" ht="30" customHeight="1" x14ac:dyDescent="0.2">
      <c r="A51" s="27" t="s">
        <v>975</v>
      </c>
      <c r="B51" s="27"/>
      <c r="C51" s="27" t="s">
        <v>983</v>
      </c>
      <c r="D51" s="31">
        <f t="shared" si="13"/>
        <v>12.148</v>
      </c>
      <c r="E51" s="30">
        <v>47067</v>
      </c>
      <c r="F51" s="31">
        <v>1.47</v>
      </c>
      <c r="G51" s="31">
        <v>1.22</v>
      </c>
      <c r="H51" s="31">
        <v>1.35</v>
      </c>
      <c r="I51" s="31">
        <v>1.3</v>
      </c>
      <c r="J51" s="31">
        <v>1.0777000000000001</v>
      </c>
      <c r="K51" s="30">
        <f t="shared" si="0"/>
        <v>159649.91321946034</v>
      </c>
      <c r="L51" s="30">
        <f t="shared" si="12"/>
        <v>2056582.3575362221</v>
      </c>
    </row>
    <row r="52" spans="1:12" ht="30" customHeight="1" x14ac:dyDescent="0.2">
      <c r="A52" s="27" t="s">
        <v>975</v>
      </c>
      <c r="B52" s="27"/>
      <c r="C52" s="27" t="s">
        <v>984</v>
      </c>
      <c r="D52" s="31">
        <f t="shared" si="13"/>
        <v>13.530999999999999</v>
      </c>
      <c r="E52" s="30">
        <v>47067</v>
      </c>
      <c r="F52" s="31">
        <v>1.47</v>
      </c>
      <c r="G52" s="31">
        <v>1.22</v>
      </c>
      <c r="H52" s="31">
        <v>1.35</v>
      </c>
      <c r="I52" s="31">
        <v>1.3</v>
      </c>
      <c r="J52" s="31">
        <v>1.0777000000000001</v>
      </c>
      <c r="K52" s="30">
        <f t="shared" si="0"/>
        <v>159649.91321946034</v>
      </c>
      <c r="L52" s="30">
        <f t="shared" si="12"/>
        <v>2216232.2707556826</v>
      </c>
    </row>
    <row r="53" spans="1:12" ht="30" customHeight="1" x14ac:dyDescent="0.2">
      <c r="A53" s="27" t="s">
        <v>975</v>
      </c>
      <c r="B53" s="27"/>
      <c r="C53" s="27" t="s">
        <v>985</v>
      </c>
      <c r="D53" s="31">
        <f t="shared" si="13"/>
        <v>14.913999999999998</v>
      </c>
      <c r="E53" s="30">
        <v>47067</v>
      </c>
      <c r="F53" s="31">
        <v>1.47</v>
      </c>
      <c r="G53" s="31">
        <v>1.22</v>
      </c>
      <c r="H53" s="31">
        <v>1.35</v>
      </c>
      <c r="I53" s="31">
        <v>1.3</v>
      </c>
      <c r="J53" s="31">
        <v>1.0777000000000001</v>
      </c>
      <c r="K53" s="30">
        <f t="shared" si="0"/>
        <v>159649.91321946034</v>
      </c>
      <c r="L53" s="30">
        <f t="shared" si="12"/>
        <v>2375882.1839751429</v>
      </c>
    </row>
    <row r="54" spans="1:12" ht="30" customHeight="1" x14ac:dyDescent="0.2">
      <c r="A54" s="27" t="s">
        <v>975</v>
      </c>
      <c r="B54" s="27"/>
      <c r="C54" s="27" t="s">
        <v>986</v>
      </c>
      <c r="D54" s="31">
        <f t="shared" si="13"/>
        <v>16.296999999999997</v>
      </c>
      <c r="E54" s="30">
        <v>47067</v>
      </c>
      <c r="F54" s="31">
        <v>1.47</v>
      </c>
      <c r="G54" s="31">
        <v>1.22</v>
      </c>
      <c r="H54" s="31">
        <v>1.35</v>
      </c>
      <c r="I54" s="31">
        <v>1.3</v>
      </c>
      <c r="J54" s="31">
        <v>1.0777000000000001</v>
      </c>
      <c r="K54" s="30">
        <f t="shared" si="0"/>
        <v>159649.91321946034</v>
      </c>
      <c r="L54" s="30">
        <f t="shared" si="12"/>
        <v>2535532.0971946032</v>
      </c>
    </row>
    <row r="55" spans="1:12" ht="30" customHeight="1" x14ac:dyDescent="0.2">
      <c r="A55" s="27" t="s">
        <v>975</v>
      </c>
      <c r="B55" s="27"/>
      <c r="C55" s="27" t="s">
        <v>987</v>
      </c>
      <c r="D55" s="31">
        <f t="shared" si="13"/>
        <v>17.679999999999996</v>
      </c>
      <c r="E55" s="30">
        <v>47067</v>
      </c>
      <c r="F55" s="31">
        <v>1.47</v>
      </c>
      <c r="G55" s="31">
        <v>1.22</v>
      </c>
      <c r="H55" s="31">
        <v>1.35</v>
      </c>
      <c r="I55" s="31">
        <v>1.3</v>
      </c>
      <c r="J55" s="31">
        <v>1.0777000000000001</v>
      </c>
      <c r="K55" s="30">
        <f t="shared" si="0"/>
        <v>159649.91321946034</v>
      </c>
      <c r="L55" s="30">
        <f t="shared" si="12"/>
        <v>2695182.0104140635</v>
      </c>
    </row>
    <row r="56" spans="1:12" ht="30" customHeight="1" x14ac:dyDescent="0.2">
      <c r="A56" s="27" t="s">
        <v>975</v>
      </c>
      <c r="B56" s="27"/>
      <c r="C56" s="27" t="s">
        <v>988</v>
      </c>
      <c r="D56" s="31">
        <f t="shared" si="13"/>
        <v>19.062999999999995</v>
      </c>
      <c r="E56" s="30">
        <v>47067</v>
      </c>
      <c r="F56" s="31">
        <v>1.47</v>
      </c>
      <c r="G56" s="31">
        <v>1.22</v>
      </c>
      <c r="H56" s="31">
        <v>1.35</v>
      </c>
      <c r="I56" s="31">
        <v>1.3</v>
      </c>
      <c r="J56" s="31">
        <v>1.0777000000000001</v>
      </c>
      <c r="K56" s="30">
        <f t="shared" si="0"/>
        <v>159649.91321946034</v>
      </c>
      <c r="L56" s="30">
        <f t="shared" si="12"/>
        <v>2854831.9236335238</v>
      </c>
    </row>
    <row r="57" spans="1:12" ht="30" customHeight="1" x14ac:dyDescent="0.2">
      <c r="A57" s="27" t="s">
        <v>975</v>
      </c>
      <c r="B57" s="27"/>
      <c r="C57" s="27" t="s">
        <v>989</v>
      </c>
      <c r="D57" s="31">
        <f t="shared" si="13"/>
        <v>20.445999999999994</v>
      </c>
      <c r="E57" s="30">
        <v>47067</v>
      </c>
      <c r="F57" s="31">
        <v>1.47</v>
      </c>
      <c r="G57" s="31">
        <v>1.22</v>
      </c>
      <c r="H57" s="31">
        <v>1.35</v>
      </c>
      <c r="I57" s="31">
        <v>1.3</v>
      </c>
      <c r="J57" s="31">
        <v>1.0777000000000001</v>
      </c>
      <c r="K57" s="30">
        <f t="shared" si="0"/>
        <v>159649.91321946034</v>
      </c>
      <c r="L57" s="30">
        <f t="shared" si="12"/>
        <v>3014481.836852984</v>
      </c>
    </row>
    <row r="58" spans="1:12" ht="30" customHeight="1" x14ac:dyDescent="0.2">
      <c r="A58" s="27" t="s">
        <v>975</v>
      </c>
      <c r="B58" s="27"/>
      <c r="C58" s="27" t="s">
        <v>990</v>
      </c>
      <c r="D58" s="31">
        <f>D57+2.116</f>
        <v>22.561999999999994</v>
      </c>
      <c r="E58" s="30">
        <v>47067</v>
      </c>
      <c r="F58" s="31">
        <v>1.47</v>
      </c>
      <c r="G58" s="31">
        <v>1.22</v>
      </c>
      <c r="H58" s="31">
        <v>1.35</v>
      </c>
      <c r="I58" s="31">
        <v>1.3</v>
      </c>
      <c r="J58" s="31">
        <v>1.0777000000000001</v>
      </c>
      <c r="K58" s="30">
        <f t="shared" si="0"/>
        <v>159649.91321946034</v>
      </c>
      <c r="L58" s="30">
        <f t="shared" si="12"/>
        <v>3174131.7500724443</v>
      </c>
    </row>
    <row r="59" spans="1:12" ht="30" customHeight="1" x14ac:dyDescent="0.2">
      <c r="A59" s="27" t="s">
        <v>975</v>
      </c>
      <c r="B59" s="27"/>
      <c r="C59" s="27" t="s">
        <v>991</v>
      </c>
      <c r="D59" s="31">
        <f t="shared" ref="D59:D67" si="14">D58+1.383</f>
        <v>23.944999999999993</v>
      </c>
      <c r="E59" s="30">
        <v>47067</v>
      </c>
      <c r="F59" s="31">
        <v>1.47</v>
      </c>
      <c r="G59" s="31">
        <v>1.22</v>
      </c>
      <c r="H59" s="31">
        <v>1.35</v>
      </c>
      <c r="I59" s="31">
        <v>1.3</v>
      </c>
      <c r="J59" s="31">
        <v>1.0777000000000001</v>
      </c>
      <c r="K59" s="30">
        <f t="shared" si="0"/>
        <v>159649.91321946034</v>
      </c>
      <c r="L59" s="30">
        <f t="shared" si="12"/>
        <v>3333781.6632919046</v>
      </c>
    </row>
    <row r="60" spans="1:12" ht="30" customHeight="1" x14ac:dyDescent="0.2">
      <c r="A60" s="27" t="s">
        <v>975</v>
      </c>
      <c r="B60" s="27"/>
      <c r="C60" s="27" t="s">
        <v>992</v>
      </c>
      <c r="D60" s="31">
        <f t="shared" si="14"/>
        <v>25.327999999999992</v>
      </c>
      <c r="E60" s="30">
        <v>47067</v>
      </c>
      <c r="F60" s="31">
        <v>1.47</v>
      </c>
      <c r="G60" s="31">
        <v>1.22</v>
      </c>
      <c r="H60" s="31">
        <v>1.35</v>
      </c>
      <c r="I60" s="31">
        <v>1.3</v>
      </c>
      <c r="J60" s="31">
        <v>1.0777000000000001</v>
      </c>
      <c r="K60" s="30">
        <f t="shared" si="0"/>
        <v>159649.91321946034</v>
      </c>
      <c r="L60" s="30">
        <f t="shared" si="12"/>
        <v>3493431.5765113649</v>
      </c>
    </row>
    <row r="61" spans="1:12" ht="30" customHeight="1" x14ac:dyDescent="0.2">
      <c r="A61" s="27" t="s">
        <v>975</v>
      </c>
      <c r="B61" s="27"/>
      <c r="C61" s="27" t="s">
        <v>993</v>
      </c>
      <c r="D61" s="31">
        <f t="shared" si="14"/>
        <v>26.710999999999991</v>
      </c>
      <c r="E61" s="30">
        <v>47067</v>
      </c>
      <c r="F61" s="31">
        <v>1.47</v>
      </c>
      <c r="G61" s="31">
        <v>1.22</v>
      </c>
      <c r="H61" s="31">
        <v>1.35</v>
      </c>
      <c r="I61" s="31">
        <v>1.3</v>
      </c>
      <c r="J61" s="31">
        <v>1.0777000000000001</v>
      </c>
      <c r="K61" s="30">
        <f t="shared" si="0"/>
        <v>159649.91321946034</v>
      </c>
      <c r="L61" s="30">
        <f t="shared" si="12"/>
        <v>3653081.4897308252</v>
      </c>
    </row>
    <row r="62" spans="1:12" ht="30" customHeight="1" x14ac:dyDescent="0.2">
      <c r="A62" s="27" t="s">
        <v>975</v>
      </c>
      <c r="B62" s="27"/>
      <c r="C62" s="27" t="s">
        <v>994</v>
      </c>
      <c r="D62" s="31">
        <f t="shared" si="14"/>
        <v>28.093999999999991</v>
      </c>
      <c r="E62" s="30">
        <v>47067</v>
      </c>
      <c r="F62" s="31">
        <v>1.47</v>
      </c>
      <c r="G62" s="31">
        <v>1.22</v>
      </c>
      <c r="H62" s="31">
        <v>1.35</v>
      </c>
      <c r="I62" s="31">
        <v>1.3</v>
      </c>
      <c r="J62" s="31">
        <v>1.0777000000000001</v>
      </c>
      <c r="K62" s="30">
        <f t="shared" si="0"/>
        <v>159649.91321946034</v>
      </c>
      <c r="L62" s="30">
        <f t="shared" si="12"/>
        <v>3812731.4029502855</v>
      </c>
    </row>
    <row r="63" spans="1:12" ht="30" customHeight="1" x14ac:dyDescent="0.2">
      <c r="A63" s="27" t="s">
        <v>975</v>
      </c>
      <c r="B63" s="27"/>
      <c r="C63" s="27" t="s">
        <v>995</v>
      </c>
      <c r="D63" s="31">
        <f t="shared" si="14"/>
        <v>29.47699999999999</v>
      </c>
      <c r="E63" s="30">
        <v>47067</v>
      </c>
      <c r="F63" s="31">
        <v>1.47</v>
      </c>
      <c r="G63" s="31">
        <v>1.22</v>
      </c>
      <c r="H63" s="31">
        <v>1.35</v>
      </c>
      <c r="I63" s="31">
        <v>1.3</v>
      </c>
      <c r="J63" s="31">
        <v>1.0777000000000001</v>
      </c>
      <c r="K63" s="30">
        <f t="shared" si="0"/>
        <v>159649.91321946034</v>
      </c>
      <c r="L63" s="30">
        <f t="shared" si="12"/>
        <v>3972381.3161697458</v>
      </c>
    </row>
    <row r="64" spans="1:12" ht="30" customHeight="1" x14ac:dyDescent="0.2">
      <c r="A64" s="27" t="s">
        <v>975</v>
      </c>
      <c r="B64" s="27"/>
      <c r="C64" s="27" t="s">
        <v>996</v>
      </c>
      <c r="D64" s="31">
        <f t="shared" si="14"/>
        <v>30.859999999999989</v>
      </c>
      <c r="E64" s="30">
        <v>47067</v>
      </c>
      <c r="F64" s="31">
        <v>1.47</v>
      </c>
      <c r="G64" s="31">
        <v>1.22</v>
      </c>
      <c r="H64" s="31">
        <v>1.35</v>
      </c>
      <c r="I64" s="31">
        <v>1.3</v>
      </c>
      <c r="J64" s="31">
        <v>1.0777000000000001</v>
      </c>
      <c r="K64" s="30">
        <f t="shared" si="0"/>
        <v>159649.91321946034</v>
      </c>
      <c r="L64" s="30">
        <f t="shared" si="12"/>
        <v>4132031.229389206</v>
      </c>
    </row>
    <row r="65" spans="1:12" ht="30" customHeight="1" x14ac:dyDescent="0.2">
      <c r="A65" s="27" t="s">
        <v>975</v>
      </c>
      <c r="B65" s="27"/>
      <c r="C65" s="27" t="s">
        <v>997</v>
      </c>
      <c r="D65" s="31">
        <f t="shared" si="14"/>
        <v>32.242999999999988</v>
      </c>
      <c r="E65" s="30">
        <v>47067</v>
      </c>
      <c r="F65" s="31">
        <v>1.47</v>
      </c>
      <c r="G65" s="31">
        <v>1.22</v>
      </c>
      <c r="H65" s="31">
        <v>1.35</v>
      </c>
      <c r="I65" s="31">
        <v>1.3</v>
      </c>
      <c r="J65" s="31">
        <v>1.0777000000000001</v>
      </c>
      <c r="K65" s="30">
        <f t="shared" si="0"/>
        <v>159649.91321946034</v>
      </c>
      <c r="L65" s="30">
        <f t="shared" si="12"/>
        <v>4291681.1426086668</v>
      </c>
    </row>
    <row r="66" spans="1:12" ht="30" customHeight="1" x14ac:dyDescent="0.2">
      <c r="A66" s="27" t="s">
        <v>975</v>
      </c>
      <c r="B66" s="27"/>
      <c r="C66" s="27" t="s">
        <v>998</v>
      </c>
      <c r="D66" s="31">
        <f t="shared" si="14"/>
        <v>33.625999999999991</v>
      </c>
      <c r="E66" s="30">
        <v>47067</v>
      </c>
      <c r="F66" s="31">
        <v>1.47</v>
      </c>
      <c r="G66" s="31">
        <v>1.22</v>
      </c>
      <c r="H66" s="31">
        <v>1.35</v>
      </c>
      <c r="I66" s="31">
        <v>1.3</v>
      </c>
      <c r="J66" s="31">
        <v>1.0777000000000001</v>
      </c>
      <c r="K66" s="30">
        <f t="shared" si="0"/>
        <v>159649.91321946034</v>
      </c>
      <c r="L66" s="30">
        <f t="shared" si="12"/>
        <v>4451331.0558281271</v>
      </c>
    </row>
    <row r="67" spans="1:12" ht="30" customHeight="1" x14ac:dyDescent="0.2">
      <c r="A67" s="27" t="s">
        <v>975</v>
      </c>
      <c r="B67" s="27"/>
      <c r="C67" s="27" t="s">
        <v>999</v>
      </c>
      <c r="D67" s="31">
        <f t="shared" si="14"/>
        <v>35.008999999999993</v>
      </c>
      <c r="E67" s="30">
        <v>47067</v>
      </c>
      <c r="F67" s="31">
        <v>1.47</v>
      </c>
      <c r="G67" s="31">
        <v>1.22</v>
      </c>
      <c r="H67" s="31">
        <v>1.35</v>
      </c>
      <c r="I67" s="31">
        <v>1.3</v>
      </c>
      <c r="J67" s="31">
        <v>1.0777000000000001</v>
      </c>
      <c r="K67" s="30">
        <f t="shared" si="0"/>
        <v>159649.91321946034</v>
      </c>
      <c r="L67" s="65">
        <f t="shared" si="12"/>
        <v>4610980.9690475874</v>
      </c>
    </row>
    <row r="68" spans="1:12" ht="30" customHeight="1" x14ac:dyDescent="0.2">
      <c r="A68" s="27" t="s">
        <v>1000</v>
      </c>
      <c r="B68" s="27"/>
      <c r="C68" s="27" t="s">
        <v>954</v>
      </c>
      <c r="D68" s="31">
        <v>0</v>
      </c>
      <c r="E68" s="30">
        <v>1071</v>
      </c>
      <c r="F68" s="31">
        <v>1.1499999999999999</v>
      </c>
      <c r="G68" s="31">
        <v>1.22</v>
      </c>
      <c r="H68" s="31">
        <v>1.35</v>
      </c>
      <c r="I68" s="31">
        <v>1.3</v>
      </c>
      <c r="J68" s="31">
        <v>1.0777000000000001</v>
      </c>
      <c r="K68" s="30">
        <f t="shared" si="0"/>
        <v>2841.9873828255004</v>
      </c>
      <c r="L68" s="30">
        <f>K68</f>
        <v>2841.9873828255004</v>
      </c>
    </row>
    <row r="69" spans="1:12" ht="30" customHeight="1" x14ac:dyDescent="0.2">
      <c r="A69" s="27" t="s">
        <v>1000</v>
      </c>
      <c r="B69" s="27"/>
      <c r="C69" s="27" t="s">
        <v>936</v>
      </c>
      <c r="D69" s="31">
        <f>0.133+1.7</f>
        <v>1.833</v>
      </c>
      <c r="E69" s="30">
        <v>566782</v>
      </c>
      <c r="F69" s="31"/>
      <c r="G69" s="31"/>
      <c r="H69" s="31"/>
      <c r="I69" s="31">
        <v>1.3</v>
      </c>
      <c r="J69" s="31"/>
      <c r="K69" s="30">
        <f t="shared" si="0"/>
        <v>736816.6</v>
      </c>
      <c r="L69" s="30">
        <f t="shared" ref="L69:L118" si="15">K69+L68</f>
        <v>739658.58738282544</v>
      </c>
    </row>
    <row r="70" spans="1:12" ht="30" customHeight="1" x14ac:dyDescent="0.2">
      <c r="A70" s="27" t="s">
        <v>1000</v>
      </c>
      <c r="B70" s="27"/>
      <c r="C70" s="27" t="s">
        <v>1001</v>
      </c>
      <c r="D70" s="31">
        <v>2.9159999999999999</v>
      </c>
      <c r="E70" s="30">
        <v>87799</v>
      </c>
      <c r="F70" s="31"/>
      <c r="G70" s="31"/>
      <c r="H70" s="31">
        <v>1.35</v>
      </c>
      <c r="I70" s="31">
        <v>1.3</v>
      </c>
      <c r="J70" s="31"/>
      <c r="K70" s="30">
        <f t="shared" si="0"/>
        <v>154087.24500000002</v>
      </c>
      <c r="L70" s="30">
        <f t="shared" si="15"/>
        <v>893745.83238282544</v>
      </c>
    </row>
    <row r="71" spans="1:12" ht="30" customHeight="1" x14ac:dyDescent="0.2">
      <c r="A71" s="27" t="s">
        <v>1000</v>
      </c>
      <c r="B71" s="27"/>
      <c r="C71" s="27" t="s">
        <v>1002</v>
      </c>
      <c r="D71" s="31">
        <v>3.9159999999999999</v>
      </c>
      <c r="E71" s="30">
        <v>33409</v>
      </c>
      <c r="F71" s="31">
        <v>1.35</v>
      </c>
      <c r="G71" s="31">
        <v>1.22</v>
      </c>
      <c r="H71" s="31">
        <v>1.35</v>
      </c>
      <c r="I71" s="31">
        <v>1.3</v>
      </c>
      <c r="J71" s="31">
        <v>1.0777000000000001</v>
      </c>
      <c r="K71" s="30">
        <f t="shared" si="0"/>
        <v>104071.56354346054</v>
      </c>
      <c r="L71" s="30">
        <f t="shared" si="15"/>
        <v>997817.395926286</v>
      </c>
    </row>
    <row r="72" spans="1:12" ht="30" customHeight="1" x14ac:dyDescent="0.2">
      <c r="A72" s="27" t="s">
        <v>1000</v>
      </c>
      <c r="B72" s="27"/>
      <c r="C72" s="27" t="s">
        <v>1003</v>
      </c>
      <c r="D72" s="31">
        <f t="shared" ref="D72:D80" si="16">D71+1.05</f>
        <v>4.9660000000000002</v>
      </c>
      <c r="E72" s="30">
        <v>33409</v>
      </c>
      <c r="F72" s="31">
        <v>1.35</v>
      </c>
      <c r="G72" s="31">
        <v>1.22</v>
      </c>
      <c r="H72" s="31">
        <v>1.35</v>
      </c>
      <c r="I72" s="31">
        <v>1.3</v>
      </c>
      <c r="J72" s="31">
        <v>1.0777000000000001</v>
      </c>
      <c r="K72" s="30">
        <f t="shared" si="0"/>
        <v>104071.56354346054</v>
      </c>
      <c r="L72" s="30">
        <f t="shared" si="15"/>
        <v>1101888.9594697466</v>
      </c>
    </row>
    <row r="73" spans="1:12" ht="30" customHeight="1" x14ac:dyDescent="0.2">
      <c r="A73" s="27" t="s">
        <v>1000</v>
      </c>
      <c r="B73" s="27"/>
      <c r="C73" s="27" t="s">
        <v>1004</v>
      </c>
      <c r="D73" s="31">
        <f t="shared" si="16"/>
        <v>6.016</v>
      </c>
      <c r="E73" s="30">
        <v>33409</v>
      </c>
      <c r="F73" s="31">
        <v>1.35</v>
      </c>
      <c r="G73" s="31">
        <v>1.22</v>
      </c>
      <c r="H73" s="31">
        <v>1.35</v>
      </c>
      <c r="I73" s="31">
        <v>1.3</v>
      </c>
      <c r="J73" s="31">
        <v>1.0777000000000001</v>
      </c>
      <c r="K73" s="30">
        <f t="shared" si="0"/>
        <v>104071.56354346054</v>
      </c>
      <c r="L73" s="30">
        <f t="shared" si="15"/>
        <v>1205960.5230132071</v>
      </c>
    </row>
    <row r="74" spans="1:12" ht="30" customHeight="1" x14ac:dyDescent="0.2">
      <c r="A74" s="27" t="s">
        <v>1000</v>
      </c>
      <c r="B74" s="27"/>
      <c r="C74" s="27" t="s">
        <v>1005</v>
      </c>
      <c r="D74" s="31">
        <f t="shared" si="16"/>
        <v>7.0659999999999998</v>
      </c>
      <c r="E74" s="30">
        <v>33409</v>
      </c>
      <c r="F74" s="31">
        <v>1.35</v>
      </c>
      <c r="G74" s="31">
        <v>1.22</v>
      </c>
      <c r="H74" s="31">
        <v>1.35</v>
      </c>
      <c r="I74" s="31">
        <v>1.3</v>
      </c>
      <c r="J74" s="31">
        <v>1.0777000000000001</v>
      </c>
      <c r="K74" s="30">
        <f t="shared" si="0"/>
        <v>104071.56354346054</v>
      </c>
      <c r="L74" s="30">
        <f t="shared" si="15"/>
        <v>1310032.0865566677</v>
      </c>
    </row>
    <row r="75" spans="1:12" ht="30" customHeight="1" x14ac:dyDescent="0.2">
      <c r="A75" s="27" t="s">
        <v>1000</v>
      </c>
      <c r="B75" s="27"/>
      <c r="C75" s="27" t="s">
        <v>1006</v>
      </c>
      <c r="D75" s="31">
        <f t="shared" si="16"/>
        <v>8.1159999999999997</v>
      </c>
      <c r="E75" s="30">
        <v>33409</v>
      </c>
      <c r="F75" s="31">
        <v>1.35</v>
      </c>
      <c r="G75" s="31">
        <v>1.22</v>
      </c>
      <c r="H75" s="31">
        <v>1.35</v>
      </c>
      <c r="I75" s="31">
        <v>1.3</v>
      </c>
      <c r="J75" s="31">
        <v>1.0777000000000001</v>
      </c>
      <c r="K75" s="30">
        <f t="shared" si="0"/>
        <v>104071.56354346054</v>
      </c>
      <c r="L75" s="30">
        <f t="shared" si="15"/>
        <v>1414103.6501001283</v>
      </c>
    </row>
    <row r="76" spans="1:12" ht="30" customHeight="1" x14ac:dyDescent="0.2">
      <c r="A76" s="27" t="s">
        <v>1000</v>
      </c>
      <c r="B76" s="27"/>
      <c r="C76" s="27" t="s">
        <v>1007</v>
      </c>
      <c r="D76" s="31">
        <f t="shared" si="16"/>
        <v>9.1660000000000004</v>
      </c>
      <c r="E76" s="30">
        <v>33409</v>
      </c>
      <c r="F76" s="31">
        <v>1.35</v>
      </c>
      <c r="G76" s="31">
        <v>1.22</v>
      </c>
      <c r="H76" s="31">
        <v>1.35</v>
      </c>
      <c r="I76" s="31">
        <v>1.3</v>
      </c>
      <c r="J76" s="31">
        <v>1.0777000000000001</v>
      </c>
      <c r="K76" s="30">
        <f t="shared" si="0"/>
        <v>104071.56354346054</v>
      </c>
      <c r="L76" s="30">
        <f t="shared" si="15"/>
        <v>1518175.2136435888</v>
      </c>
    </row>
    <row r="77" spans="1:12" ht="30" customHeight="1" x14ac:dyDescent="0.2">
      <c r="A77" s="27" t="s">
        <v>1000</v>
      </c>
      <c r="B77" s="27"/>
      <c r="C77" s="27" t="s">
        <v>1008</v>
      </c>
      <c r="D77" s="31">
        <f t="shared" si="16"/>
        <v>10.216000000000001</v>
      </c>
      <c r="E77" s="30">
        <v>33409</v>
      </c>
      <c r="F77" s="31">
        <v>1.35</v>
      </c>
      <c r="G77" s="31">
        <v>1.22</v>
      </c>
      <c r="H77" s="31">
        <v>1.35</v>
      </c>
      <c r="I77" s="31">
        <v>1.3</v>
      </c>
      <c r="J77" s="31">
        <v>1.0777000000000001</v>
      </c>
      <c r="K77" s="30">
        <f t="shared" si="0"/>
        <v>104071.56354346054</v>
      </c>
      <c r="L77" s="30">
        <f t="shared" si="15"/>
        <v>1622246.7771870494</v>
      </c>
    </row>
    <row r="78" spans="1:12" ht="30" customHeight="1" x14ac:dyDescent="0.2">
      <c r="A78" s="27" t="s">
        <v>1000</v>
      </c>
      <c r="B78" s="27"/>
      <c r="C78" s="27" t="s">
        <v>1009</v>
      </c>
      <c r="D78" s="31">
        <f t="shared" si="16"/>
        <v>11.266000000000002</v>
      </c>
      <c r="E78" s="30">
        <v>33409</v>
      </c>
      <c r="F78" s="31">
        <v>1.35</v>
      </c>
      <c r="G78" s="31">
        <v>1.22</v>
      </c>
      <c r="H78" s="31">
        <v>1.35</v>
      </c>
      <c r="I78" s="31">
        <v>1.3</v>
      </c>
      <c r="J78" s="31">
        <v>1.0777000000000001</v>
      </c>
      <c r="K78" s="30">
        <f t="shared" si="0"/>
        <v>104071.56354346054</v>
      </c>
      <c r="L78" s="30">
        <f t="shared" si="15"/>
        <v>1726318.34073051</v>
      </c>
    </row>
    <row r="79" spans="1:12" ht="30" customHeight="1" x14ac:dyDescent="0.2">
      <c r="A79" s="27" t="s">
        <v>1000</v>
      </c>
      <c r="B79" s="27"/>
      <c r="C79" s="27" t="s">
        <v>1010</v>
      </c>
      <c r="D79" s="31">
        <f t="shared" si="16"/>
        <v>12.316000000000003</v>
      </c>
      <c r="E79" s="30">
        <v>33409</v>
      </c>
      <c r="F79" s="31">
        <v>1.35</v>
      </c>
      <c r="G79" s="31">
        <v>1.22</v>
      </c>
      <c r="H79" s="31">
        <v>1.35</v>
      </c>
      <c r="I79" s="31">
        <v>1.3</v>
      </c>
      <c r="J79" s="31">
        <v>1.0777000000000001</v>
      </c>
      <c r="K79" s="30">
        <f t="shared" si="0"/>
        <v>104071.56354346054</v>
      </c>
      <c r="L79" s="30">
        <f t="shared" si="15"/>
        <v>1830389.9042739705</v>
      </c>
    </row>
    <row r="80" spans="1:12" ht="30" customHeight="1" x14ac:dyDescent="0.2">
      <c r="A80" s="27" t="s">
        <v>1000</v>
      </c>
      <c r="B80" s="27"/>
      <c r="C80" s="27" t="s">
        <v>1011</v>
      </c>
      <c r="D80" s="31">
        <f t="shared" si="16"/>
        <v>13.366000000000003</v>
      </c>
      <c r="E80" s="30">
        <v>33409</v>
      </c>
      <c r="F80" s="31">
        <v>1.35</v>
      </c>
      <c r="G80" s="31">
        <v>1.22</v>
      </c>
      <c r="H80" s="31">
        <v>1.35</v>
      </c>
      <c r="I80" s="31">
        <v>1.3</v>
      </c>
      <c r="J80" s="31">
        <v>1.0777000000000001</v>
      </c>
      <c r="K80" s="30">
        <f t="shared" si="0"/>
        <v>104071.56354346054</v>
      </c>
      <c r="L80" s="30">
        <f t="shared" si="15"/>
        <v>1934461.4678174311</v>
      </c>
    </row>
    <row r="81" spans="1:12" ht="30" customHeight="1" x14ac:dyDescent="0.2">
      <c r="A81" s="27" t="s">
        <v>1000</v>
      </c>
      <c r="B81" s="27"/>
      <c r="C81" s="27" t="s">
        <v>1012</v>
      </c>
      <c r="D81" s="31">
        <f>D80+1.65</f>
        <v>15.016000000000004</v>
      </c>
      <c r="E81" s="30">
        <v>87799</v>
      </c>
      <c r="F81" s="31"/>
      <c r="G81" s="31"/>
      <c r="H81" s="31">
        <v>1.35</v>
      </c>
      <c r="I81" s="31">
        <v>1.3</v>
      </c>
      <c r="J81" s="31"/>
      <c r="K81" s="30">
        <f t="shared" si="0"/>
        <v>154087.24500000002</v>
      </c>
      <c r="L81" s="30">
        <f t="shared" si="15"/>
        <v>2088548.7128174312</v>
      </c>
    </row>
    <row r="82" spans="1:12" ht="30" customHeight="1" x14ac:dyDescent="0.2">
      <c r="A82" s="27" t="s">
        <v>1000</v>
      </c>
      <c r="B82" s="27"/>
      <c r="C82" s="27" t="s">
        <v>1013</v>
      </c>
      <c r="D82" s="31">
        <f>D80+1.75</f>
        <v>15.116000000000003</v>
      </c>
      <c r="E82" s="30">
        <v>1071</v>
      </c>
      <c r="F82" s="31">
        <v>1.1499999999999999</v>
      </c>
      <c r="G82" s="31">
        <v>1.22</v>
      </c>
      <c r="H82" s="31">
        <v>1.35</v>
      </c>
      <c r="I82" s="31">
        <v>1.3</v>
      </c>
      <c r="J82" s="31"/>
      <c r="K82" s="30">
        <f t="shared" si="0"/>
        <v>2637.0858149999999</v>
      </c>
      <c r="L82" s="30">
        <f t="shared" si="15"/>
        <v>2091185.7986324313</v>
      </c>
    </row>
    <row r="83" spans="1:12" ht="30" customHeight="1" x14ac:dyDescent="0.2">
      <c r="A83" s="27" t="s">
        <v>1000</v>
      </c>
      <c r="B83" s="27"/>
      <c r="C83" s="27" t="s">
        <v>1014</v>
      </c>
      <c r="D83" s="31">
        <f>D80+2.833</f>
        <v>16.199000000000005</v>
      </c>
      <c r="E83" s="30">
        <v>33409</v>
      </c>
      <c r="F83" s="31">
        <v>1.35</v>
      </c>
      <c r="G83" s="31">
        <v>1.22</v>
      </c>
      <c r="H83" s="31">
        <v>1.35</v>
      </c>
      <c r="I83" s="31">
        <v>1.3</v>
      </c>
      <c r="J83" s="31">
        <v>1.0777000000000001</v>
      </c>
      <c r="K83" s="30">
        <f t="shared" si="0"/>
        <v>104071.56354346054</v>
      </c>
      <c r="L83" s="30">
        <f t="shared" si="15"/>
        <v>2195257.3621758916</v>
      </c>
    </row>
    <row r="84" spans="1:12" ht="30" customHeight="1" x14ac:dyDescent="0.2">
      <c r="A84" s="27" t="s">
        <v>1000</v>
      </c>
      <c r="B84" s="27"/>
      <c r="C84" s="27" t="s">
        <v>1015</v>
      </c>
      <c r="D84" s="31">
        <f t="shared" ref="D84:D94" si="17">D83+1.05</f>
        <v>17.249000000000006</v>
      </c>
      <c r="E84" s="30">
        <v>33409</v>
      </c>
      <c r="F84" s="31">
        <v>1.35</v>
      </c>
      <c r="G84" s="31">
        <v>1.22</v>
      </c>
      <c r="H84" s="31">
        <v>1.35</v>
      </c>
      <c r="I84" s="31">
        <v>1.3</v>
      </c>
      <c r="J84" s="31">
        <v>1.0777000000000001</v>
      </c>
      <c r="K84" s="30">
        <f t="shared" si="0"/>
        <v>104071.56354346054</v>
      </c>
      <c r="L84" s="30">
        <f t="shared" si="15"/>
        <v>2299328.925719352</v>
      </c>
    </row>
    <row r="85" spans="1:12" ht="30" customHeight="1" x14ac:dyDescent="0.2">
      <c r="A85" s="27" t="s">
        <v>1000</v>
      </c>
      <c r="B85" s="27"/>
      <c r="C85" s="27" t="s">
        <v>1016</v>
      </c>
      <c r="D85" s="31">
        <f t="shared" si="17"/>
        <v>18.299000000000007</v>
      </c>
      <c r="E85" s="30">
        <v>33409</v>
      </c>
      <c r="F85" s="31">
        <v>1.35</v>
      </c>
      <c r="G85" s="31">
        <v>1.22</v>
      </c>
      <c r="H85" s="31">
        <v>1.35</v>
      </c>
      <c r="I85" s="31">
        <v>1.3</v>
      </c>
      <c r="J85" s="31">
        <v>1.0777000000000001</v>
      </c>
      <c r="K85" s="30">
        <f t="shared" si="0"/>
        <v>104071.56354346054</v>
      </c>
      <c r="L85" s="30">
        <f t="shared" si="15"/>
        <v>2403400.4892628123</v>
      </c>
    </row>
    <row r="86" spans="1:12" ht="30" customHeight="1" x14ac:dyDescent="0.2">
      <c r="A86" s="27" t="s">
        <v>1000</v>
      </c>
      <c r="B86" s="27"/>
      <c r="C86" s="27" t="s">
        <v>1017</v>
      </c>
      <c r="D86" s="31">
        <f t="shared" si="17"/>
        <v>19.349000000000007</v>
      </c>
      <c r="E86" s="30">
        <v>33409</v>
      </c>
      <c r="F86" s="31">
        <v>1.35</v>
      </c>
      <c r="G86" s="31">
        <v>1.22</v>
      </c>
      <c r="H86" s="31">
        <v>1.35</v>
      </c>
      <c r="I86" s="31">
        <v>1.3</v>
      </c>
      <c r="J86" s="31">
        <v>1.0777000000000001</v>
      </c>
      <c r="K86" s="30">
        <f t="shared" si="0"/>
        <v>104071.56354346054</v>
      </c>
      <c r="L86" s="30">
        <f t="shared" si="15"/>
        <v>2507472.0528062726</v>
      </c>
    </row>
    <row r="87" spans="1:12" ht="30" customHeight="1" x14ac:dyDescent="0.2">
      <c r="A87" s="27" t="s">
        <v>1000</v>
      </c>
      <c r="B87" s="27"/>
      <c r="C87" s="27" t="s">
        <v>1018</v>
      </c>
      <c r="D87" s="31">
        <f t="shared" si="17"/>
        <v>20.399000000000008</v>
      </c>
      <c r="E87" s="30">
        <v>33409</v>
      </c>
      <c r="F87" s="31">
        <v>1.35</v>
      </c>
      <c r="G87" s="31">
        <v>1.22</v>
      </c>
      <c r="H87" s="31">
        <v>1.35</v>
      </c>
      <c r="I87" s="31">
        <v>1.3</v>
      </c>
      <c r="J87" s="31">
        <v>1.0777000000000001</v>
      </c>
      <c r="K87" s="30">
        <f t="shared" si="0"/>
        <v>104071.56354346054</v>
      </c>
      <c r="L87" s="30">
        <f t="shared" si="15"/>
        <v>2611543.616349733</v>
      </c>
    </row>
    <row r="88" spans="1:12" ht="30" customHeight="1" x14ac:dyDescent="0.2">
      <c r="A88" s="27" t="s">
        <v>1000</v>
      </c>
      <c r="B88" s="27"/>
      <c r="C88" s="27" t="s">
        <v>1019</v>
      </c>
      <c r="D88" s="31">
        <f t="shared" si="17"/>
        <v>21.449000000000009</v>
      </c>
      <c r="E88" s="30">
        <v>33409</v>
      </c>
      <c r="F88" s="31">
        <v>1.35</v>
      </c>
      <c r="G88" s="31">
        <v>1.22</v>
      </c>
      <c r="H88" s="31">
        <v>1.35</v>
      </c>
      <c r="I88" s="31">
        <v>1.3</v>
      </c>
      <c r="J88" s="31">
        <v>1.0777000000000001</v>
      </c>
      <c r="K88" s="30">
        <f t="shared" si="0"/>
        <v>104071.56354346054</v>
      </c>
      <c r="L88" s="30">
        <f t="shared" si="15"/>
        <v>2715615.1798931933</v>
      </c>
    </row>
    <row r="89" spans="1:12" ht="30" customHeight="1" x14ac:dyDescent="0.2">
      <c r="A89" s="27" t="s">
        <v>1000</v>
      </c>
      <c r="B89" s="27"/>
      <c r="C89" s="27" t="s">
        <v>1020</v>
      </c>
      <c r="D89" s="31">
        <f t="shared" si="17"/>
        <v>22.499000000000009</v>
      </c>
      <c r="E89" s="30">
        <v>33409</v>
      </c>
      <c r="F89" s="31">
        <v>1.35</v>
      </c>
      <c r="G89" s="31">
        <v>1.22</v>
      </c>
      <c r="H89" s="31">
        <v>1.35</v>
      </c>
      <c r="I89" s="31">
        <v>1.3</v>
      </c>
      <c r="J89" s="31">
        <v>1.0777000000000001</v>
      </c>
      <c r="K89" s="30">
        <f t="shared" si="0"/>
        <v>104071.56354346054</v>
      </c>
      <c r="L89" s="30">
        <f t="shared" si="15"/>
        <v>2819686.7434366536</v>
      </c>
    </row>
    <row r="90" spans="1:12" ht="30" customHeight="1" x14ac:dyDescent="0.2">
      <c r="A90" s="27" t="s">
        <v>1000</v>
      </c>
      <c r="B90" s="27"/>
      <c r="C90" s="27" t="s">
        <v>1021</v>
      </c>
      <c r="D90" s="31">
        <f t="shared" si="17"/>
        <v>23.54900000000001</v>
      </c>
      <c r="E90" s="30">
        <v>33409</v>
      </c>
      <c r="F90" s="31">
        <v>1.35</v>
      </c>
      <c r="G90" s="31">
        <v>1.22</v>
      </c>
      <c r="H90" s="31">
        <v>1.35</v>
      </c>
      <c r="I90" s="31">
        <v>1.3</v>
      </c>
      <c r="J90" s="31">
        <v>1.0777000000000001</v>
      </c>
      <c r="K90" s="30">
        <f t="shared" si="0"/>
        <v>104071.56354346054</v>
      </c>
      <c r="L90" s="30">
        <f t="shared" si="15"/>
        <v>2923758.306980114</v>
      </c>
    </row>
    <row r="91" spans="1:12" ht="30" customHeight="1" x14ac:dyDescent="0.2">
      <c r="A91" s="27" t="s">
        <v>1000</v>
      </c>
      <c r="B91" s="27"/>
      <c r="C91" s="27" t="s">
        <v>1022</v>
      </c>
      <c r="D91" s="31">
        <f t="shared" si="17"/>
        <v>24.599000000000011</v>
      </c>
      <c r="E91" s="30">
        <v>33409</v>
      </c>
      <c r="F91" s="31">
        <v>1.35</v>
      </c>
      <c r="G91" s="31">
        <v>1.22</v>
      </c>
      <c r="H91" s="31">
        <v>1.35</v>
      </c>
      <c r="I91" s="31">
        <v>1.3</v>
      </c>
      <c r="J91" s="31">
        <v>1.0777000000000001</v>
      </c>
      <c r="K91" s="30">
        <f t="shared" si="0"/>
        <v>104071.56354346054</v>
      </c>
      <c r="L91" s="30">
        <f t="shared" si="15"/>
        <v>3027829.8705235743</v>
      </c>
    </row>
    <row r="92" spans="1:12" ht="30" customHeight="1" x14ac:dyDescent="0.2">
      <c r="A92" s="27" t="s">
        <v>1000</v>
      </c>
      <c r="B92" s="27"/>
      <c r="C92" s="27" t="s">
        <v>1023</v>
      </c>
      <c r="D92" s="31">
        <f t="shared" si="17"/>
        <v>25.649000000000012</v>
      </c>
      <c r="E92" s="30">
        <v>33409</v>
      </c>
      <c r="F92" s="31">
        <v>1.35</v>
      </c>
      <c r="G92" s="31">
        <v>1.22</v>
      </c>
      <c r="H92" s="31">
        <v>1.35</v>
      </c>
      <c r="I92" s="31">
        <v>1.3</v>
      </c>
      <c r="J92" s="31">
        <v>1.0777000000000001</v>
      </c>
      <c r="K92" s="30">
        <f t="shared" si="0"/>
        <v>104071.56354346054</v>
      </c>
      <c r="L92" s="30">
        <f t="shared" si="15"/>
        <v>3131901.4340670346</v>
      </c>
    </row>
    <row r="93" spans="1:12" ht="30" customHeight="1" x14ac:dyDescent="0.2">
      <c r="A93" s="27" t="s">
        <v>1000</v>
      </c>
      <c r="B93" s="27"/>
      <c r="C93" s="27" t="s">
        <v>1024</v>
      </c>
      <c r="D93" s="31">
        <f t="shared" si="17"/>
        <v>26.699000000000012</v>
      </c>
      <c r="E93" s="30">
        <v>33409</v>
      </c>
      <c r="F93" s="31">
        <v>1.35</v>
      </c>
      <c r="G93" s="31">
        <v>1.22</v>
      </c>
      <c r="H93" s="31">
        <v>1.35</v>
      </c>
      <c r="I93" s="31">
        <v>1.3</v>
      </c>
      <c r="J93" s="31">
        <v>1.0777000000000001</v>
      </c>
      <c r="K93" s="30">
        <f t="shared" si="0"/>
        <v>104071.56354346054</v>
      </c>
      <c r="L93" s="30">
        <f t="shared" si="15"/>
        <v>3235972.997610495</v>
      </c>
    </row>
    <row r="94" spans="1:12" ht="30" customHeight="1" x14ac:dyDescent="0.2">
      <c r="A94" s="27" t="s">
        <v>1000</v>
      </c>
      <c r="B94" s="27"/>
      <c r="C94" s="27" t="s">
        <v>1025</v>
      </c>
      <c r="D94" s="31">
        <f t="shared" si="17"/>
        <v>27.749000000000013</v>
      </c>
      <c r="E94" s="30">
        <v>33409</v>
      </c>
      <c r="F94" s="31">
        <v>1.35</v>
      </c>
      <c r="G94" s="31">
        <v>1.22</v>
      </c>
      <c r="H94" s="31">
        <v>1.35</v>
      </c>
      <c r="I94" s="31">
        <v>1.3</v>
      </c>
      <c r="J94" s="31">
        <v>1.0777000000000001</v>
      </c>
      <c r="K94" s="30">
        <f t="shared" si="0"/>
        <v>104071.56354346054</v>
      </c>
      <c r="L94" s="30">
        <f t="shared" si="15"/>
        <v>3340044.5611539553</v>
      </c>
    </row>
    <row r="95" spans="1:12" ht="30" customHeight="1" x14ac:dyDescent="0.2">
      <c r="A95" s="27" t="s">
        <v>1000</v>
      </c>
      <c r="B95" s="27"/>
      <c r="C95" s="27" t="s">
        <v>1026</v>
      </c>
      <c r="D95" s="31">
        <f>D94+1.65</f>
        <v>29.399000000000012</v>
      </c>
      <c r="E95" s="30">
        <v>87799</v>
      </c>
      <c r="F95" s="31"/>
      <c r="G95" s="31"/>
      <c r="H95" s="31">
        <v>1.35</v>
      </c>
      <c r="I95" s="31">
        <v>1.3</v>
      </c>
      <c r="J95" s="31"/>
      <c r="K95" s="30">
        <f t="shared" si="0"/>
        <v>154087.24500000002</v>
      </c>
      <c r="L95" s="30">
        <f t="shared" si="15"/>
        <v>3494131.8061539554</v>
      </c>
    </row>
    <row r="96" spans="1:12" ht="30" customHeight="1" x14ac:dyDescent="0.2">
      <c r="A96" s="27" t="s">
        <v>1000</v>
      </c>
      <c r="B96" s="27"/>
      <c r="C96" s="27" t="s">
        <v>1027</v>
      </c>
      <c r="D96" s="31">
        <f>D94+1.75</f>
        <v>29.499000000000013</v>
      </c>
      <c r="E96" s="30">
        <v>1071</v>
      </c>
      <c r="F96" s="31">
        <v>1.1499999999999999</v>
      </c>
      <c r="G96" s="31">
        <v>1.22</v>
      </c>
      <c r="H96" s="31">
        <v>1.35</v>
      </c>
      <c r="I96" s="31">
        <v>1.3</v>
      </c>
      <c r="J96" s="31"/>
      <c r="K96" s="30">
        <f t="shared" si="0"/>
        <v>2637.0858149999999</v>
      </c>
      <c r="L96" s="30">
        <f t="shared" si="15"/>
        <v>3496768.8919689553</v>
      </c>
    </row>
    <row r="97" spans="1:12" ht="30" customHeight="1" x14ac:dyDescent="0.2">
      <c r="A97" s="27" t="s">
        <v>1000</v>
      </c>
      <c r="B97" s="27"/>
      <c r="C97" s="27" t="s">
        <v>1028</v>
      </c>
      <c r="D97" s="31">
        <f>D94+2.833</f>
        <v>30.582000000000015</v>
      </c>
      <c r="E97" s="30">
        <v>33409</v>
      </c>
      <c r="F97" s="31">
        <v>1.35</v>
      </c>
      <c r="G97" s="31">
        <v>1.22</v>
      </c>
      <c r="H97" s="31">
        <v>1.35</v>
      </c>
      <c r="I97" s="31">
        <v>1.3</v>
      </c>
      <c r="J97" s="31">
        <v>1.0777000000000001</v>
      </c>
      <c r="K97" s="30">
        <f t="shared" si="0"/>
        <v>104071.56354346054</v>
      </c>
      <c r="L97" s="30">
        <f t="shared" si="15"/>
        <v>3600840.4555124156</v>
      </c>
    </row>
    <row r="98" spans="1:12" ht="30" customHeight="1" x14ac:dyDescent="0.2">
      <c r="A98" s="27" t="s">
        <v>1000</v>
      </c>
      <c r="B98" s="27"/>
      <c r="C98" s="27" t="s">
        <v>1029</v>
      </c>
      <c r="D98" s="31">
        <f t="shared" ref="D98:D108" si="18">D97+1.05</f>
        <v>31.632000000000016</v>
      </c>
      <c r="E98" s="30">
        <v>33409</v>
      </c>
      <c r="F98" s="31">
        <v>1.35</v>
      </c>
      <c r="G98" s="31">
        <v>1.22</v>
      </c>
      <c r="H98" s="31">
        <v>1.35</v>
      </c>
      <c r="I98" s="31">
        <v>1.3</v>
      </c>
      <c r="J98" s="31">
        <v>1.0777000000000001</v>
      </c>
      <c r="K98" s="30">
        <f t="shared" si="0"/>
        <v>104071.56354346054</v>
      </c>
      <c r="L98" s="30">
        <f t="shared" si="15"/>
        <v>3704912.0190558759</v>
      </c>
    </row>
    <row r="99" spans="1:12" ht="30" customHeight="1" x14ac:dyDescent="0.2">
      <c r="A99" s="27" t="s">
        <v>1000</v>
      </c>
      <c r="B99" s="27"/>
      <c r="C99" s="27" t="s">
        <v>1030</v>
      </c>
      <c r="D99" s="31">
        <f t="shared" si="18"/>
        <v>32.682000000000016</v>
      </c>
      <c r="E99" s="30">
        <v>33409</v>
      </c>
      <c r="F99" s="31">
        <v>1.35</v>
      </c>
      <c r="G99" s="31">
        <v>1.22</v>
      </c>
      <c r="H99" s="31">
        <v>1.35</v>
      </c>
      <c r="I99" s="31">
        <v>1.3</v>
      </c>
      <c r="J99" s="31">
        <v>1.0777000000000001</v>
      </c>
      <c r="K99" s="30">
        <f t="shared" si="0"/>
        <v>104071.56354346054</v>
      </c>
      <c r="L99" s="30">
        <f t="shared" si="15"/>
        <v>3808983.5825993363</v>
      </c>
    </row>
    <row r="100" spans="1:12" ht="30" customHeight="1" x14ac:dyDescent="0.2">
      <c r="A100" s="27" t="s">
        <v>1000</v>
      </c>
      <c r="B100" s="27"/>
      <c r="C100" s="27" t="s">
        <v>1031</v>
      </c>
      <c r="D100" s="31">
        <f t="shared" si="18"/>
        <v>33.732000000000014</v>
      </c>
      <c r="E100" s="30">
        <v>33409</v>
      </c>
      <c r="F100" s="31">
        <v>1.35</v>
      </c>
      <c r="G100" s="31">
        <v>1.22</v>
      </c>
      <c r="H100" s="31">
        <v>1.35</v>
      </c>
      <c r="I100" s="31">
        <v>1.3</v>
      </c>
      <c r="J100" s="31">
        <v>1.0777000000000001</v>
      </c>
      <c r="K100" s="30">
        <f t="shared" si="0"/>
        <v>104071.56354346054</v>
      </c>
      <c r="L100" s="30">
        <f t="shared" si="15"/>
        <v>3913055.1461427966</v>
      </c>
    </row>
    <row r="101" spans="1:12" ht="30" customHeight="1" x14ac:dyDescent="0.2">
      <c r="A101" s="27" t="s">
        <v>1000</v>
      </c>
      <c r="B101" s="27"/>
      <c r="C101" s="27" t="s">
        <v>1032</v>
      </c>
      <c r="D101" s="31">
        <f t="shared" si="18"/>
        <v>34.782000000000011</v>
      </c>
      <c r="E101" s="30">
        <v>33409</v>
      </c>
      <c r="F101" s="31">
        <v>1.35</v>
      </c>
      <c r="G101" s="31">
        <v>1.22</v>
      </c>
      <c r="H101" s="31">
        <v>1.35</v>
      </c>
      <c r="I101" s="31">
        <v>1.3</v>
      </c>
      <c r="J101" s="31">
        <v>1.0777000000000001</v>
      </c>
      <c r="K101" s="30">
        <f t="shared" si="0"/>
        <v>104071.56354346054</v>
      </c>
      <c r="L101" s="30">
        <f t="shared" si="15"/>
        <v>4017126.7096862569</v>
      </c>
    </row>
    <row r="102" spans="1:12" ht="30" customHeight="1" x14ac:dyDescent="0.2">
      <c r="A102" s="27" t="s">
        <v>1000</v>
      </c>
      <c r="B102" s="27"/>
      <c r="C102" s="27" t="s">
        <v>1033</v>
      </c>
      <c r="D102" s="31">
        <f t="shared" si="18"/>
        <v>35.832000000000008</v>
      </c>
      <c r="E102" s="30">
        <v>33409</v>
      </c>
      <c r="F102" s="31">
        <v>1.35</v>
      </c>
      <c r="G102" s="31">
        <v>1.22</v>
      </c>
      <c r="H102" s="31">
        <v>1.35</v>
      </c>
      <c r="I102" s="31">
        <v>1.3</v>
      </c>
      <c r="J102" s="31">
        <v>1.0777000000000001</v>
      </c>
      <c r="K102" s="30">
        <f t="shared" si="0"/>
        <v>104071.56354346054</v>
      </c>
      <c r="L102" s="30">
        <f t="shared" si="15"/>
        <v>4121198.2732297173</v>
      </c>
    </row>
    <row r="103" spans="1:12" ht="30" customHeight="1" x14ac:dyDescent="0.2">
      <c r="A103" s="27" t="s">
        <v>1000</v>
      </c>
      <c r="B103" s="27"/>
      <c r="C103" s="27" t="s">
        <v>1034</v>
      </c>
      <c r="D103" s="31">
        <f t="shared" si="18"/>
        <v>36.882000000000005</v>
      </c>
      <c r="E103" s="30">
        <v>33409</v>
      </c>
      <c r="F103" s="31">
        <v>1.35</v>
      </c>
      <c r="G103" s="31">
        <v>1.22</v>
      </c>
      <c r="H103" s="31">
        <v>1.35</v>
      </c>
      <c r="I103" s="31">
        <v>1.3</v>
      </c>
      <c r="J103" s="31">
        <v>1.0777000000000001</v>
      </c>
      <c r="K103" s="30">
        <f t="shared" si="0"/>
        <v>104071.56354346054</v>
      </c>
      <c r="L103" s="30">
        <f t="shared" si="15"/>
        <v>4225269.8367731776</v>
      </c>
    </row>
    <row r="104" spans="1:12" ht="30" customHeight="1" x14ac:dyDescent="0.2">
      <c r="A104" s="27" t="s">
        <v>1000</v>
      </c>
      <c r="B104" s="27"/>
      <c r="C104" s="27" t="s">
        <v>1035</v>
      </c>
      <c r="D104" s="31">
        <f t="shared" si="18"/>
        <v>37.932000000000002</v>
      </c>
      <c r="E104" s="30">
        <v>33409</v>
      </c>
      <c r="F104" s="31">
        <v>1.35</v>
      </c>
      <c r="G104" s="31">
        <v>1.22</v>
      </c>
      <c r="H104" s="31">
        <v>1.35</v>
      </c>
      <c r="I104" s="31">
        <v>1.3</v>
      </c>
      <c r="J104" s="31">
        <v>1.0777000000000001</v>
      </c>
      <c r="K104" s="30">
        <f t="shared" si="0"/>
        <v>104071.56354346054</v>
      </c>
      <c r="L104" s="30">
        <f t="shared" si="15"/>
        <v>4329341.4003166379</v>
      </c>
    </row>
    <row r="105" spans="1:12" ht="30" customHeight="1" x14ac:dyDescent="0.2">
      <c r="A105" s="27" t="s">
        <v>1000</v>
      </c>
      <c r="B105" s="27"/>
      <c r="C105" s="27" t="s">
        <v>1036</v>
      </c>
      <c r="D105" s="31">
        <f t="shared" si="18"/>
        <v>38.981999999999999</v>
      </c>
      <c r="E105" s="30">
        <v>33409</v>
      </c>
      <c r="F105" s="31">
        <v>1.35</v>
      </c>
      <c r="G105" s="31">
        <v>1.22</v>
      </c>
      <c r="H105" s="31">
        <v>1.35</v>
      </c>
      <c r="I105" s="31">
        <v>1.3</v>
      </c>
      <c r="J105" s="31">
        <v>1.0777000000000001</v>
      </c>
      <c r="K105" s="30">
        <f t="shared" si="0"/>
        <v>104071.56354346054</v>
      </c>
      <c r="L105" s="30">
        <f t="shared" si="15"/>
        <v>4433412.9638600983</v>
      </c>
    </row>
    <row r="106" spans="1:12" ht="30" customHeight="1" x14ac:dyDescent="0.2">
      <c r="A106" s="27" t="s">
        <v>1000</v>
      </c>
      <c r="B106" s="27"/>
      <c r="C106" s="27" t="s">
        <v>1037</v>
      </c>
      <c r="D106" s="31">
        <f t="shared" si="18"/>
        <v>40.031999999999996</v>
      </c>
      <c r="E106" s="30">
        <v>33409</v>
      </c>
      <c r="F106" s="31">
        <v>1.35</v>
      </c>
      <c r="G106" s="31">
        <v>1.22</v>
      </c>
      <c r="H106" s="31">
        <v>1.35</v>
      </c>
      <c r="I106" s="31">
        <v>1.3</v>
      </c>
      <c r="J106" s="31">
        <v>1.0777000000000001</v>
      </c>
      <c r="K106" s="30">
        <f t="shared" si="0"/>
        <v>104071.56354346054</v>
      </c>
      <c r="L106" s="30">
        <f t="shared" si="15"/>
        <v>4537484.5274035586</v>
      </c>
    </row>
    <row r="107" spans="1:12" ht="30" customHeight="1" x14ac:dyDescent="0.2">
      <c r="A107" s="27" t="s">
        <v>1000</v>
      </c>
      <c r="B107" s="27"/>
      <c r="C107" s="27" t="s">
        <v>1038</v>
      </c>
      <c r="D107" s="31">
        <f t="shared" si="18"/>
        <v>41.081999999999994</v>
      </c>
      <c r="E107" s="30">
        <v>33409</v>
      </c>
      <c r="F107" s="31">
        <v>1.35</v>
      </c>
      <c r="G107" s="31">
        <v>1.22</v>
      </c>
      <c r="H107" s="31">
        <v>1.35</v>
      </c>
      <c r="I107" s="31">
        <v>1.3</v>
      </c>
      <c r="J107" s="31">
        <v>1.0777000000000001</v>
      </c>
      <c r="K107" s="30">
        <f t="shared" si="0"/>
        <v>104071.56354346054</v>
      </c>
      <c r="L107" s="30">
        <f t="shared" si="15"/>
        <v>4641556.0909470189</v>
      </c>
    </row>
    <row r="108" spans="1:12" ht="30" customHeight="1" x14ac:dyDescent="0.2">
      <c r="A108" s="27" t="s">
        <v>1000</v>
      </c>
      <c r="B108" s="27"/>
      <c r="C108" s="27" t="s">
        <v>1039</v>
      </c>
      <c r="D108" s="31">
        <f t="shared" si="18"/>
        <v>42.131999999999991</v>
      </c>
      <c r="E108" s="30">
        <v>33409</v>
      </c>
      <c r="F108" s="31">
        <v>1.35</v>
      </c>
      <c r="G108" s="31">
        <v>1.22</v>
      </c>
      <c r="H108" s="31">
        <v>1.35</v>
      </c>
      <c r="I108" s="31">
        <v>1.3</v>
      </c>
      <c r="J108" s="31">
        <v>1.0777000000000001</v>
      </c>
      <c r="K108" s="30">
        <f t="shared" si="0"/>
        <v>104071.56354346054</v>
      </c>
      <c r="L108" s="30">
        <f t="shared" si="15"/>
        <v>4745627.6544904793</v>
      </c>
    </row>
    <row r="109" spans="1:12" ht="30" customHeight="1" x14ac:dyDescent="0.2">
      <c r="A109" s="27" t="s">
        <v>1000</v>
      </c>
      <c r="B109" s="27"/>
      <c r="C109" s="27" t="s">
        <v>1026</v>
      </c>
      <c r="D109" s="31">
        <f>D108+1.65</f>
        <v>43.781999999999989</v>
      </c>
      <c r="E109" s="30">
        <v>87799</v>
      </c>
      <c r="F109" s="31"/>
      <c r="G109" s="31"/>
      <c r="H109" s="31">
        <v>1.35</v>
      </c>
      <c r="I109" s="31">
        <v>1.3</v>
      </c>
      <c r="J109" s="31"/>
      <c r="K109" s="30">
        <f t="shared" si="0"/>
        <v>154087.24500000002</v>
      </c>
      <c r="L109" s="30">
        <f t="shared" si="15"/>
        <v>4899714.8994904794</v>
      </c>
    </row>
    <row r="110" spans="1:12" ht="30" customHeight="1" x14ac:dyDescent="0.2">
      <c r="A110" s="27" t="s">
        <v>1000</v>
      </c>
      <c r="B110" s="27"/>
      <c r="C110" s="27" t="s">
        <v>1027</v>
      </c>
      <c r="D110" s="31">
        <f>D108+1.75</f>
        <v>43.881999999999991</v>
      </c>
      <c r="E110" s="30">
        <v>1071</v>
      </c>
      <c r="F110" s="31">
        <v>1.1499999999999999</v>
      </c>
      <c r="G110" s="31">
        <v>1.22</v>
      </c>
      <c r="H110" s="31">
        <v>1.35</v>
      </c>
      <c r="I110" s="31">
        <v>1.3</v>
      </c>
      <c r="J110" s="31"/>
      <c r="K110" s="30">
        <f t="shared" si="0"/>
        <v>2637.0858149999999</v>
      </c>
      <c r="L110" s="30">
        <f t="shared" si="15"/>
        <v>4902351.9853054797</v>
      </c>
    </row>
    <row r="111" spans="1:12" ht="30" customHeight="1" x14ac:dyDescent="0.2">
      <c r="A111" s="27" t="s">
        <v>1000</v>
      </c>
      <c r="B111" s="27"/>
      <c r="C111" s="27" t="s">
        <v>1040</v>
      </c>
      <c r="D111" s="31">
        <f>D108+2.833</f>
        <v>44.964999999999989</v>
      </c>
      <c r="E111" s="30">
        <v>33409</v>
      </c>
      <c r="F111" s="31">
        <v>1.35</v>
      </c>
      <c r="G111" s="31">
        <v>1.22</v>
      </c>
      <c r="H111" s="31">
        <v>1.35</v>
      </c>
      <c r="I111" s="31">
        <v>1.3</v>
      </c>
      <c r="J111" s="31">
        <v>1.0777000000000001</v>
      </c>
      <c r="K111" s="30">
        <f t="shared" si="0"/>
        <v>104071.56354346054</v>
      </c>
      <c r="L111" s="30">
        <f t="shared" si="15"/>
        <v>5006423.5488489401</v>
      </c>
    </row>
    <row r="112" spans="1:12" ht="30" customHeight="1" x14ac:dyDescent="0.2">
      <c r="A112" s="27" t="s">
        <v>1000</v>
      </c>
      <c r="B112" s="27"/>
      <c r="C112" s="27" t="s">
        <v>1041</v>
      </c>
      <c r="D112" s="31">
        <f t="shared" ref="D112:D119" si="19">D111+1.05</f>
        <v>46.014999999999986</v>
      </c>
      <c r="E112" s="30">
        <v>33409</v>
      </c>
      <c r="F112" s="31">
        <v>1.35</v>
      </c>
      <c r="G112" s="31">
        <v>1.22</v>
      </c>
      <c r="H112" s="31">
        <v>1.35</v>
      </c>
      <c r="I112" s="31">
        <v>1.3</v>
      </c>
      <c r="J112" s="31">
        <v>1.0777000000000001</v>
      </c>
      <c r="K112" s="30">
        <f t="shared" si="0"/>
        <v>104071.56354346054</v>
      </c>
      <c r="L112" s="30">
        <f t="shared" si="15"/>
        <v>5110495.1123924004</v>
      </c>
    </row>
    <row r="113" spans="1:12" ht="30" customHeight="1" x14ac:dyDescent="0.2">
      <c r="A113" s="27" t="s">
        <v>1000</v>
      </c>
      <c r="B113" s="27"/>
      <c r="C113" s="27" t="s">
        <v>1042</v>
      </c>
      <c r="D113" s="31">
        <f t="shared" si="19"/>
        <v>47.064999999999984</v>
      </c>
      <c r="E113" s="30">
        <v>33409</v>
      </c>
      <c r="F113" s="31">
        <v>1.35</v>
      </c>
      <c r="G113" s="31">
        <v>1.22</v>
      </c>
      <c r="H113" s="31">
        <v>1.35</v>
      </c>
      <c r="I113" s="31">
        <v>1.3</v>
      </c>
      <c r="J113" s="31">
        <v>1.0777000000000001</v>
      </c>
      <c r="K113" s="30">
        <f t="shared" si="0"/>
        <v>104071.56354346054</v>
      </c>
      <c r="L113" s="30">
        <f t="shared" si="15"/>
        <v>5214566.6759358607</v>
      </c>
    </row>
    <row r="114" spans="1:12" ht="30" customHeight="1" x14ac:dyDescent="0.2">
      <c r="A114" s="27" t="s">
        <v>1000</v>
      </c>
      <c r="B114" s="27"/>
      <c r="C114" s="27" t="s">
        <v>1043</v>
      </c>
      <c r="D114" s="31">
        <f t="shared" si="19"/>
        <v>48.114999999999981</v>
      </c>
      <c r="E114" s="30">
        <v>33409</v>
      </c>
      <c r="F114" s="31">
        <v>1.35</v>
      </c>
      <c r="G114" s="31">
        <v>1.22</v>
      </c>
      <c r="H114" s="31">
        <v>1.35</v>
      </c>
      <c r="I114" s="31">
        <v>1.3</v>
      </c>
      <c r="J114" s="31">
        <v>1.0777000000000001</v>
      </c>
      <c r="K114" s="30">
        <f t="shared" si="0"/>
        <v>104071.56354346054</v>
      </c>
      <c r="L114" s="30">
        <f t="shared" si="15"/>
        <v>5318638.2394793211</v>
      </c>
    </row>
    <row r="115" spans="1:12" ht="30" customHeight="1" x14ac:dyDescent="0.2">
      <c r="A115" s="27" t="s">
        <v>1000</v>
      </c>
      <c r="B115" s="27"/>
      <c r="C115" s="27" t="s">
        <v>1044</v>
      </c>
      <c r="D115" s="31">
        <f t="shared" si="19"/>
        <v>49.164999999999978</v>
      </c>
      <c r="E115" s="30">
        <v>33409</v>
      </c>
      <c r="F115" s="31">
        <v>1.35</v>
      </c>
      <c r="G115" s="31">
        <v>1.22</v>
      </c>
      <c r="H115" s="31">
        <v>1.35</v>
      </c>
      <c r="I115" s="31">
        <v>1.3</v>
      </c>
      <c r="J115" s="31">
        <v>1.0777000000000001</v>
      </c>
      <c r="K115" s="30">
        <f t="shared" si="0"/>
        <v>104071.56354346054</v>
      </c>
      <c r="L115" s="30">
        <f t="shared" si="15"/>
        <v>5422709.8030227814</v>
      </c>
    </row>
    <row r="116" spans="1:12" ht="30" customHeight="1" x14ac:dyDescent="0.2">
      <c r="A116" s="27" t="s">
        <v>1000</v>
      </c>
      <c r="B116" s="27"/>
      <c r="C116" s="27" t="s">
        <v>1045</v>
      </c>
      <c r="D116" s="31">
        <f t="shared" si="19"/>
        <v>50.214999999999975</v>
      </c>
      <c r="E116" s="30">
        <v>33409</v>
      </c>
      <c r="F116" s="31">
        <v>1.35</v>
      </c>
      <c r="G116" s="31">
        <v>1.22</v>
      </c>
      <c r="H116" s="31">
        <v>1.35</v>
      </c>
      <c r="I116" s="31">
        <v>1.3</v>
      </c>
      <c r="J116" s="31">
        <v>1.0777000000000001</v>
      </c>
      <c r="K116" s="30">
        <f t="shared" si="0"/>
        <v>104071.56354346054</v>
      </c>
      <c r="L116" s="30">
        <f t="shared" si="15"/>
        <v>5526781.3665662417</v>
      </c>
    </row>
    <row r="117" spans="1:12" ht="30" customHeight="1" x14ac:dyDescent="0.2">
      <c r="A117" s="27" t="s">
        <v>1000</v>
      </c>
      <c r="B117" s="27"/>
      <c r="C117" s="27" t="s">
        <v>1046</v>
      </c>
      <c r="D117" s="31">
        <f t="shared" si="19"/>
        <v>51.264999999999972</v>
      </c>
      <c r="E117" s="30">
        <v>33409</v>
      </c>
      <c r="F117" s="31">
        <v>1.35</v>
      </c>
      <c r="G117" s="31">
        <v>1.22</v>
      </c>
      <c r="H117" s="31">
        <v>1.35</v>
      </c>
      <c r="I117" s="31">
        <v>1.3</v>
      </c>
      <c r="J117" s="31">
        <v>1.0777000000000001</v>
      </c>
      <c r="K117" s="30">
        <f t="shared" si="0"/>
        <v>104071.56354346054</v>
      </c>
      <c r="L117" s="30">
        <f t="shared" si="15"/>
        <v>5630852.9301097021</v>
      </c>
    </row>
    <row r="118" spans="1:12" ht="30" customHeight="1" x14ac:dyDescent="0.2">
      <c r="A118" s="27" t="s">
        <v>1000</v>
      </c>
      <c r="B118" s="27"/>
      <c r="C118" s="27" t="s">
        <v>1047</v>
      </c>
      <c r="D118" s="31">
        <f t="shared" si="19"/>
        <v>52.314999999999969</v>
      </c>
      <c r="E118" s="30">
        <v>33409</v>
      </c>
      <c r="F118" s="31">
        <v>1.35</v>
      </c>
      <c r="G118" s="31">
        <v>1.22</v>
      </c>
      <c r="H118" s="31">
        <v>1.35</v>
      </c>
      <c r="I118" s="31">
        <v>1.3</v>
      </c>
      <c r="J118" s="31">
        <v>1.0777000000000001</v>
      </c>
      <c r="K118" s="30">
        <f t="shared" si="0"/>
        <v>104071.56354346054</v>
      </c>
      <c r="L118" s="30">
        <f t="shared" si="15"/>
        <v>5734924.4936531624</v>
      </c>
    </row>
    <row r="119" spans="1:12" ht="30" customHeight="1" x14ac:dyDescent="0.2">
      <c r="A119" s="27" t="s">
        <v>1000</v>
      </c>
      <c r="B119" s="27"/>
      <c r="C119" s="27" t="s">
        <v>1048</v>
      </c>
      <c r="D119" s="31">
        <f t="shared" si="19"/>
        <v>53.364999999999966</v>
      </c>
      <c r="E119" s="30">
        <v>33409</v>
      </c>
      <c r="F119" s="31">
        <v>1.35</v>
      </c>
      <c r="G119" s="31">
        <v>1.22</v>
      </c>
      <c r="H119" s="31">
        <v>1.35</v>
      </c>
      <c r="I119" s="31">
        <v>1.3</v>
      </c>
      <c r="J119" s="31">
        <v>1.0777000000000001</v>
      </c>
      <c r="K119" s="30">
        <f t="shared" si="0"/>
        <v>104071.56354346054</v>
      </c>
      <c r="L119" s="65">
        <f>L118+K119</f>
        <v>5838996.0571966227</v>
      </c>
    </row>
    <row r="120" spans="1:12" ht="30" customHeight="1" x14ac:dyDescent="0.2">
      <c r="A120" s="27" t="s">
        <v>1049</v>
      </c>
      <c r="B120" s="27"/>
      <c r="C120" s="27" t="s">
        <v>936</v>
      </c>
      <c r="D120" s="31">
        <v>1.6659999999999999</v>
      </c>
      <c r="E120" s="30">
        <v>566782</v>
      </c>
      <c r="F120" s="31"/>
      <c r="G120" s="31"/>
      <c r="H120" s="31"/>
      <c r="I120" s="31">
        <v>1.3</v>
      </c>
      <c r="J120" s="31"/>
      <c r="K120" s="30">
        <f t="shared" si="0"/>
        <v>736816.6</v>
      </c>
      <c r="L120" s="30">
        <f>K120</f>
        <v>736816.6</v>
      </c>
    </row>
    <row r="121" spans="1:12" ht="30" customHeight="1" x14ac:dyDescent="0.2">
      <c r="A121" s="27" t="s">
        <v>1049</v>
      </c>
      <c r="B121" s="27"/>
      <c r="C121" s="27" t="s">
        <v>1050</v>
      </c>
      <c r="D121" s="31">
        <f>1.9+0.166</f>
        <v>2.0659999999999998</v>
      </c>
      <c r="E121" s="30">
        <f t="shared" ref="E121:E122" si="20">13686*1.15</f>
        <v>15738.9</v>
      </c>
      <c r="F121" s="31"/>
      <c r="G121" s="31"/>
      <c r="H121" s="31">
        <v>1.35</v>
      </c>
      <c r="I121" s="31">
        <v>1.3</v>
      </c>
      <c r="J121" s="31">
        <v>1.0777000000000001</v>
      </c>
      <c r="K121" s="30">
        <f t="shared" si="0"/>
        <v>29767.980990150001</v>
      </c>
      <c r="L121" s="30">
        <f t="shared" ref="L121:L150" si="21">L120+K121</f>
        <v>766584.58099014999</v>
      </c>
    </row>
    <row r="122" spans="1:12" ht="30" customHeight="1" x14ac:dyDescent="0.2">
      <c r="A122" s="27" t="s">
        <v>1049</v>
      </c>
      <c r="B122" s="27"/>
      <c r="C122" s="27" t="s">
        <v>1051</v>
      </c>
      <c r="D122" s="31">
        <f>D121+0.416</f>
        <v>2.4819999999999998</v>
      </c>
      <c r="E122" s="30">
        <f t="shared" si="20"/>
        <v>15738.9</v>
      </c>
      <c r="F122" s="31">
        <v>2.2330000000000001</v>
      </c>
      <c r="G122" s="31"/>
      <c r="H122" s="31">
        <v>1.35</v>
      </c>
      <c r="I122" s="31">
        <v>1.3</v>
      </c>
      <c r="J122" s="31">
        <v>1.0777000000000001</v>
      </c>
      <c r="K122" s="30">
        <f t="shared" si="0"/>
        <v>66471.901551004965</v>
      </c>
      <c r="L122" s="30">
        <f t="shared" si="21"/>
        <v>833056.48254115495</v>
      </c>
    </row>
    <row r="123" spans="1:12" ht="30" customHeight="1" x14ac:dyDescent="0.2">
      <c r="A123" s="27" t="s">
        <v>1049</v>
      </c>
      <c r="B123" s="27"/>
      <c r="C123" s="27" t="s">
        <v>1052</v>
      </c>
      <c r="D123" s="31">
        <f>D122+0.316+0.283</f>
        <v>3.0809999999999995</v>
      </c>
      <c r="E123" s="27">
        <v>33003</v>
      </c>
      <c r="F123" s="31"/>
      <c r="G123" s="31">
        <v>1.22</v>
      </c>
      <c r="H123" s="31">
        <v>1.35</v>
      </c>
      <c r="I123" s="31">
        <v>1.3</v>
      </c>
      <c r="J123" s="31">
        <v>1.0777000000000001</v>
      </c>
      <c r="K123" s="30">
        <f t="shared" si="0"/>
        <v>76153.21690041</v>
      </c>
      <c r="L123" s="30">
        <f t="shared" si="21"/>
        <v>909209.69944156497</v>
      </c>
    </row>
    <row r="124" spans="1:12" ht="30" customHeight="1" x14ac:dyDescent="0.2">
      <c r="A124" s="27" t="s">
        <v>1049</v>
      </c>
      <c r="B124" s="27"/>
      <c r="C124" s="27" t="s">
        <v>1053</v>
      </c>
      <c r="D124" s="31">
        <f>D123+1.533/5</f>
        <v>3.3875999999999995</v>
      </c>
      <c r="E124" s="27">
        <v>33003</v>
      </c>
      <c r="F124" s="31"/>
      <c r="G124" s="31">
        <v>1.22</v>
      </c>
      <c r="H124" s="31">
        <v>1.35</v>
      </c>
      <c r="I124" s="31">
        <v>1.3</v>
      </c>
      <c r="J124" s="31">
        <v>1.0777000000000001</v>
      </c>
      <c r="K124" s="30">
        <f t="shared" si="0"/>
        <v>76153.21690041</v>
      </c>
      <c r="L124" s="30">
        <f t="shared" si="21"/>
        <v>985362.91634197498</v>
      </c>
    </row>
    <row r="125" spans="1:12" ht="30" customHeight="1" x14ac:dyDescent="0.2">
      <c r="A125" s="27" t="s">
        <v>1049</v>
      </c>
      <c r="B125" s="27"/>
      <c r="C125" s="27" t="s">
        <v>1054</v>
      </c>
      <c r="D125" s="31">
        <f t="shared" ref="D125:D127" si="22">D124+1.533/6</f>
        <v>3.6430999999999996</v>
      </c>
      <c r="E125" s="27">
        <v>33003</v>
      </c>
      <c r="F125" s="31"/>
      <c r="G125" s="31">
        <v>1.22</v>
      </c>
      <c r="H125" s="31">
        <v>1.35</v>
      </c>
      <c r="I125" s="31">
        <v>1.3</v>
      </c>
      <c r="J125" s="31">
        <v>1.0777000000000001</v>
      </c>
      <c r="K125" s="30">
        <f t="shared" si="0"/>
        <v>76153.21690041</v>
      </c>
      <c r="L125" s="30">
        <f t="shared" si="21"/>
        <v>1061516.133242385</v>
      </c>
    </row>
    <row r="126" spans="1:12" ht="30" customHeight="1" x14ac:dyDescent="0.2">
      <c r="A126" s="27" t="s">
        <v>1049</v>
      </c>
      <c r="B126" s="27"/>
      <c r="C126" s="27" t="s">
        <v>1055</v>
      </c>
      <c r="D126" s="31">
        <f t="shared" si="22"/>
        <v>3.8985999999999996</v>
      </c>
      <c r="E126" s="27">
        <v>33003</v>
      </c>
      <c r="F126" s="31"/>
      <c r="G126" s="31">
        <v>1.22</v>
      </c>
      <c r="H126" s="31">
        <v>1.35</v>
      </c>
      <c r="I126" s="31">
        <v>1.3</v>
      </c>
      <c r="J126" s="31">
        <v>1.0777000000000001</v>
      </c>
      <c r="K126" s="30">
        <f t="shared" si="0"/>
        <v>76153.21690041</v>
      </c>
      <c r="L126" s="30">
        <f t="shared" si="21"/>
        <v>1137669.3501427949</v>
      </c>
    </row>
    <row r="127" spans="1:12" ht="30" customHeight="1" x14ac:dyDescent="0.2">
      <c r="A127" s="27" t="s">
        <v>1049</v>
      </c>
      <c r="B127" s="27"/>
      <c r="C127" s="27" t="s">
        <v>1056</v>
      </c>
      <c r="D127" s="31">
        <f t="shared" si="22"/>
        <v>4.1540999999999997</v>
      </c>
      <c r="E127" s="27">
        <v>33003</v>
      </c>
      <c r="F127" s="31"/>
      <c r="G127" s="31">
        <v>1.22</v>
      </c>
      <c r="H127" s="31">
        <v>1.35</v>
      </c>
      <c r="I127" s="31">
        <v>1.3</v>
      </c>
      <c r="J127" s="31">
        <v>1.0777000000000001</v>
      </c>
      <c r="K127" s="30">
        <f t="shared" si="0"/>
        <v>76153.21690041</v>
      </c>
      <c r="L127" s="30">
        <f t="shared" si="21"/>
        <v>1213822.5670432048</v>
      </c>
    </row>
    <row r="128" spans="1:12" ht="30" customHeight="1" x14ac:dyDescent="0.2">
      <c r="A128" s="27" t="s">
        <v>1049</v>
      </c>
      <c r="B128" s="27"/>
      <c r="C128" s="27" t="s">
        <v>1057</v>
      </c>
      <c r="D128" s="31">
        <f>D127+1.533/5</f>
        <v>4.4606999999999992</v>
      </c>
      <c r="E128" s="27">
        <v>33003</v>
      </c>
      <c r="F128" s="31"/>
      <c r="G128" s="31">
        <v>1.22</v>
      </c>
      <c r="H128" s="31">
        <v>1.35</v>
      </c>
      <c r="I128" s="31">
        <v>1.3</v>
      </c>
      <c r="J128" s="31">
        <v>1.0777000000000001</v>
      </c>
      <c r="K128" s="30">
        <f t="shared" si="0"/>
        <v>76153.21690041</v>
      </c>
      <c r="L128" s="30">
        <f t="shared" si="21"/>
        <v>1289975.7839436147</v>
      </c>
    </row>
    <row r="129" spans="1:12" ht="30" customHeight="1" x14ac:dyDescent="0.2">
      <c r="A129" s="27" t="s">
        <v>1049</v>
      </c>
      <c r="B129" s="27"/>
      <c r="C129" s="27" t="s">
        <v>1058</v>
      </c>
      <c r="D129" s="31">
        <f>D128+0.316+0.183</f>
        <v>4.9596999999999989</v>
      </c>
      <c r="E129" s="27">
        <v>13686</v>
      </c>
      <c r="F129" s="31"/>
      <c r="G129" s="31">
        <v>1.22</v>
      </c>
      <c r="H129" s="31">
        <v>1.35</v>
      </c>
      <c r="I129" s="31">
        <v>1.3</v>
      </c>
      <c r="J129" s="31"/>
      <c r="K129" s="30">
        <f t="shared" si="0"/>
        <v>29303.0946</v>
      </c>
      <c r="L129" s="30">
        <f t="shared" si="21"/>
        <v>1319278.8785436146</v>
      </c>
    </row>
    <row r="130" spans="1:12" ht="30" customHeight="1" x14ac:dyDescent="0.2">
      <c r="A130" s="27" t="s">
        <v>1049</v>
      </c>
      <c r="B130" s="27"/>
      <c r="C130" s="27" t="s">
        <v>1059</v>
      </c>
      <c r="D130" s="31">
        <f t="shared" ref="D130:D131" si="23">D129+0.866/2</f>
        <v>5.3926999999999987</v>
      </c>
      <c r="E130" s="27">
        <v>13686</v>
      </c>
      <c r="F130" s="31"/>
      <c r="G130" s="31">
        <v>1.22</v>
      </c>
      <c r="H130" s="31">
        <v>1.35</v>
      </c>
      <c r="I130" s="31">
        <v>1.3</v>
      </c>
      <c r="J130" s="31"/>
      <c r="K130" s="30">
        <f t="shared" si="0"/>
        <v>29303.0946</v>
      </c>
      <c r="L130" s="30">
        <f t="shared" si="21"/>
        <v>1348581.9731436146</v>
      </c>
    </row>
    <row r="131" spans="1:12" ht="30" customHeight="1" x14ac:dyDescent="0.2">
      <c r="A131" s="27" t="s">
        <v>1049</v>
      </c>
      <c r="B131" s="27"/>
      <c r="C131" s="27" t="s">
        <v>1060</v>
      </c>
      <c r="D131" s="31">
        <f t="shared" si="23"/>
        <v>5.8256999999999985</v>
      </c>
      <c r="E131" s="27">
        <f>64457-2*13686</f>
        <v>37085</v>
      </c>
      <c r="F131" s="31"/>
      <c r="G131" s="31">
        <v>1.22</v>
      </c>
      <c r="H131" s="31">
        <v>1.35</v>
      </c>
      <c r="I131" s="31">
        <v>1.3</v>
      </c>
      <c r="J131" s="31"/>
      <c r="K131" s="30">
        <f t="shared" si="0"/>
        <v>79402.693500000008</v>
      </c>
      <c r="L131" s="30">
        <f t="shared" si="21"/>
        <v>1427984.6666436146</v>
      </c>
    </row>
    <row r="132" spans="1:12" ht="30" customHeight="1" x14ac:dyDescent="0.2">
      <c r="A132" s="27" t="s">
        <v>1049</v>
      </c>
      <c r="B132" s="27"/>
      <c r="C132" s="27" t="s">
        <v>1061</v>
      </c>
      <c r="D132" s="31">
        <f>D131+0.3+0.166</f>
        <v>6.2916999999999987</v>
      </c>
      <c r="E132" s="30">
        <f t="shared" ref="E132:E133" si="24">13686*1.15</f>
        <v>15738.9</v>
      </c>
      <c r="F132" s="31"/>
      <c r="G132" s="31"/>
      <c r="H132" s="31">
        <v>1.35</v>
      </c>
      <c r="I132" s="31">
        <v>1.3</v>
      </c>
      <c r="J132" s="31">
        <v>1.0777000000000001</v>
      </c>
      <c r="K132" s="30">
        <f t="shared" si="0"/>
        <v>29767.980990150001</v>
      </c>
      <c r="L132" s="30">
        <f t="shared" si="21"/>
        <v>1457752.6476337647</v>
      </c>
    </row>
    <row r="133" spans="1:12" ht="30" customHeight="1" x14ac:dyDescent="0.2">
      <c r="A133" s="27" t="s">
        <v>1049</v>
      </c>
      <c r="B133" s="27"/>
      <c r="C133" s="27" t="s">
        <v>1062</v>
      </c>
      <c r="D133" s="31">
        <f>D132+0.416</f>
        <v>6.7076999999999991</v>
      </c>
      <c r="E133" s="30">
        <f t="shared" si="24"/>
        <v>15738.9</v>
      </c>
      <c r="F133" s="31">
        <v>2.2330000000000001</v>
      </c>
      <c r="G133" s="31"/>
      <c r="H133" s="31">
        <v>1.35</v>
      </c>
      <c r="I133" s="31">
        <v>1.3</v>
      </c>
      <c r="J133" s="31">
        <v>1.0777000000000001</v>
      </c>
      <c r="K133" s="30">
        <f t="shared" si="0"/>
        <v>66471.901551004965</v>
      </c>
      <c r="L133" s="30">
        <f t="shared" si="21"/>
        <v>1524224.5491847696</v>
      </c>
    </row>
    <row r="134" spans="1:12" ht="30" customHeight="1" x14ac:dyDescent="0.2">
      <c r="A134" s="27" t="s">
        <v>1049</v>
      </c>
      <c r="B134" s="27"/>
      <c r="C134" s="27" t="s">
        <v>1063</v>
      </c>
      <c r="D134" s="31">
        <f>D133+0.316+0.283</f>
        <v>7.3066999999999993</v>
      </c>
      <c r="E134" s="27">
        <v>33003</v>
      </c>
      <c r="F134" s="31"/>
      <c r="G134" s="31">
        <v>1.22</v>
      </c>
      <c r="H134" s="31">
        <v>1.35</v>
      </c>
      <c r="I134" s="31">
        <v>1.3</v>
      </c>
      <c r="J134" s="31">
        <v>1.0777000000000001</v>
      </c>
      <c r="K134" s="30">
        <f t="shared" si="0"/>
        <v>76153.21690041</v>
      </c>
      <c r="L134" s="30">
        <f t="shared" si="21"/>
        <v>1600377.7660851795</v>
      </c>
    </row>
    <row r="135" spans="1:12" ht="30" customHeight="1" x14ac:dyDescent="0.2">
      <c r="A135" s="27" t="s">
        <v>1049</v>
      </c>
      <c r="B135" s="27"/>
      <c r="C135" s="27" t="s">
        <v>1064</v>
      </c>
      <c r="D135" s="31">
        <f>D134+1.533/5</f>
        <v>7.6132999999999988</v>
      </c>
      <c r="E135" s="27">
        <v>33003</v>
      </c>
      <c r="F135" s="31"/>
      <c r="G135" s="31">
        <v>1.22</v>
      </c>
      <c r="H135" s="31">
        <v>1.35</v>
      </c>
      <c r="I135" s="31">
        <v>1.3</v>
      </c>
      <c r="J135" s="31">
        <v>1.0777000000000001</v>
      </c>
      <c r="K135" s="30">
        <f t="shared" si="0"/>
        <v>76153.21690041</v>
      </c>
      <c r="L135" s="30">
        <f t="shared" si="21"/>
        <v>1676530.9829855894</v>
      </c>
    </row>
    <row r="136" spans="1:12" ht="30" customHeight="1" x14ac:dyDescent="0.2">
      <c r="A136" s="27" t="s">
        <v>1049</v>
      </c>
      <c r="B136" s="27"/>
      <c r="C136" s="27" t="s">
        <v>1065</v>
      </c>
      <c r="D136" s="31">
        <f t="shared" ref="D136:D138" si="25">D135+1.533/6</f>
        <v>7.8687999999999985</v>
      </c>
      <c r="E136" s="27">
        <v>33003</v>
      </c>
      <c r="F136" s="31"/>
      <c r="G136" s="31">
        <v>1.22</v>
      </c>
      <c r="H136" s="31">
        <v>1.35</v>
      </c>
      <c r="I136" s="31">
        <v>1.3</v>
      </c>
      <c r="J136" s="31">
        <v>1.0777000000000001</v>
      </c>
      <c r="K136" s="30">
        <f t="shared" si="0"/>
        <v>76153.21690041</v>
      </c>
      <c r="L136" s="30">
        <f t="shared" si="21"/>
        <v>1752684.1998859993</v>
      </c>
    </row>
    <row r="137" spans="1:12" ht="30" customHeight="1" x14ac:dyDescent="0.2">
      <c r="A137" s="27" t="s">
        <v>1049</v>
      </c>
      <c r="B137" s="27"/>
      <c r="C137" s="27" t="s">
        <v>1066</v>
      </c>
      <c r="D137" s="31">
        <f t="shared" si="25"/>
        <v>8.1242999999999981</v>
      </c>
      <c r="E137" s="27">
        <v>33003</v>
      </c>
      <c r="F137" s="31"/>
      <c r="G137" s="31">
        <v>1.22</v>
      </c>
      <c r="H137" s="31">
        <v>1.35</v>
      </c>
      <c r="I137" s="31">
        <v>1.3</v>
      </c>
      <c r="J137" s="31">
        <v>1.0777000000000001</v>
      </c>
      <c r="K137" s="30">
        <f t="shared" si="0"/>
        <v>76153.21690041</v>
      </c>
      <c r="L137" s="30">
        <f t="shared" si="21"/>
        <v>1828837.4167864092</v>
      </c>
    </row>
    <row r="138" spans="1:12" ht="30" customHeight="1" x14ac:dyDescent="0.2">
      <c r="A138" s="27" t="s">
        <v>1049</v>
      </c>
      <c r="B138" s="27"/>
      <c r="C138" s="27" t="s">
        <v>1067</v>
      </c>
      <c r="D138" s="31">
        <f t="shared" si="25"/>
        <v>8.3797999999999977</v>
      </c>
      <c r="E138" s="27">
        <v>33003</v>
      </c>
      <c r="F138" s="31"/>
      <c r="G138" s="31">
        <v>1.22</v>
      </c>
      <c r="H138" s="31">
        <v>1.35</v>
      </c>
      <c r="I138" s="31">
        <v>1.3</v>
      </c>
      <c r="J138" s="31">
        <v>1.0777000000000001</v>
      </c>
      <c r="K138" s="30">
        <f t="shared" si="0"/>
        <v>76153.21690041</v>
      </c>
      <c r="L138" s="30">
        <f t="shared" si="21"/>
        <v>1904990.6336868191</v>
      </c>
    </row>
    <row r="139" spans="1:12" ht="30" customHeight="1" x14ac:dyDescent="0.2">
      <c r="A139" s="27" t="s">
        <v>1049</v>
      </c>
      <c r="B139" s="27"/>
      <c r="C139" s="27" t="s">
        <v>1068</v>
      </c>
      <c r="D139" s="31">
        <f>D138+1.533/5</f>
        <v>8.6863999999999972</v>
      </c>
      <c r="E139" s="27">
        <v>33003</v>
      </c>
      <c r="F139" s="31"/>
      <c r="G139" s="31">
        <v>1.22</v>
      </c>
      <c r="H139" s="31">
        <v>1.35</v>
      </c>
      <c r="I139" s="31">
        <v>1.3</v>
      </c>
      <c r="J139" s="31">
        <v>1.0777000000000001</v>
      </c>
      <c r="K139" s="30">
        <f t="shared" si="0"/>
        <v>76153.21690041</v>
      </c>
      <c r="L139" s="30">
        <f t="shared" si="21"/>
        <v>1981143.850587229</v>
      </c>
    </row>
    <row r="140" spans="1:12" ht="30" customHeight="1" x14ac:dyDescent="0.2">
      <c r="A140" s="27" t="s">
        <v>1049</v>
      </c>
      <c r="B140" s="27"/>
      <c r="C140" s="27" t="s">
        <v>1069</v>
      </c>
      <c r="D140" s="31">
        <f>D139+0.316+0.183</f>
        <v>9.1853999999999978</v>
      </c>
      <c r="E140" s="27">
        <v>13686</v>
      </c>
      <c r="F140" s="31"/>
      <c r="G140" s="31">
        <v>1.22</v>
      </c>
      <c r="H140" s="31">
        <v>1.35</v>
      </c>
      <c r="I140" s="31">
        <v>1.3</v>
      </c>
      <c r="J140" s="31"/>
      <c r="K140" s="30">
        <f t="shared" si="0"/>
        <v>29303.0946</v>
      </c>
      <c r="L140" s="30">
        <f t="shared" si="21"/>
        <v>2010446.945187229</v>
      </c>
    </row>
    <row r="141" spans="1:12" ht="30" customHeight="1" x14ac:dyDescent="0.2">
      <c r="A141" s="27" t="s">
        <v>1049</v>
      </c>
      <c r="B141" s="27"/>
      <c r="C141" s="27" t="s">
        <v>1070</v>
      </c>
      <c r="D141" s="31">
        <f t="shared" ref="D141:D142" si="26">D140+0.866/2</f>
        <v>9.6183999999999976</v>
      </c>
      <c r="E141" s="27">
        <v>13686</v>
      </c>
      <c r="F141" s="31"/>
      <c r="G141" s="31">
        <v>1.22</v>
      </c>
      <c r="H141" s="31">
        <v>1.35</v>
      </c>
      <c r="I141" s="31">
        <v>1.3</v>
      </c>
      <c r="J141" s="31"/>
      <c r="K141" s="30">
        <f t="shared" si="0"/>
        <v>29303.0946</v>
      </c>
      <c r="L141" s="30">
        <f t="shared" si="21"/>
        <v>2039750.0397872289</v>
      </c>
    </row>
    <row r="142" spans="1:12" ht="30" customHeight="1" x14ac:dyDescent="0.2">
      <c r="A142" s="27" t="s">
        <v>1049</v>
      </c>
      <c r="B142" s="27"/>
      <c r="C142" s="27" t="s">
        <v>1071</v>
      </c>
      <c r="D142" s="31">
        <f t="shared" si="26"/>
        <v>10.051399999999997</v>
      </c>
      <c r="E142" s="27">
        <f>64457-2*13686</f>
        <v>37085</v>
      </c>
      <c r="F142" s="31"/>
      <c r="G142" s="31">
        <v>1.22</v>
      </c>
      <c r="H142" s="31">
        <v>1.35</v>
      </c>
      <c r="I142" s="31">
        <v>1.3</v>
      </c>
      <c r="J142" s="31"/>
      <c r="K142" s="30">
        <f t="shared" si="0"/>
        <v>79402.693500000008</v>
      </c>
      <c r="L142" s="30">
        <f t="shared" si="21"/>
        <v>2119152.7332872287</v>
      </c>
    </row>
    <row r="143" spans="1:12" ht="30" customHeight="1" x14ac:dyDescent="0.2">
      <c r="A143" s="27" t="s">
        <v>1049</v>
      </c>
      <c r="B143" s="27"/>
      <c r="C143" s="27" t="s">
        <v>1072</v>
      </c>
      <c r="D143" s="31">
        <f>D142+0.3+0.166</f>
        <v>10.517399999999999</v>
      </c>
      <c r="E143" s="30">
        <f t="shared" ref="E143:E144" si="27">13686*1.15</f>
        <v>15738.9</v>
      </c>
      <c r="F143" s="31"/>
      <c r="G143" s="31"/>
      <c r="H143" s="31">
        <v>1.35</v>
      </c>
      <c r="I143" s="31">
        <v>1.3</v>
      </c>
      <c r="J143" s="31">
        <v>1.0777000000000001</v>
      </c>
      <c r="K143" s="30">
        <f t="shared" si="0"/>
        <v>29767.980990150001</v>
      </c>
      <c r="L143" s="30">
        <f t="shared" si="21"/>
        <v>2148920.7142773787</v>
      </c>
    </row>
    <row r="144" spans="1:12" ht="30" customHeight="1" x14ac:dyDescent="0.2">
      <c r="A144" s="27" t="s">
        <v>1049</v>
      </c>
      <c r="B144" s="27"/>
      <c r="C144" s="27" t="s">
        <v>1073</v>
      </c>
      <c r="D144" s="31">
        <f>D143+0.416</f>
        <v>10.933399999999999</v>
      </c>
      <c r="E144" s="30">
        <f t="shared" si="27"/>
        <v>15738.9</v>
      </c>
      <c r="F144" s="31">
        <v>2.2330000000000001</v>
      </c>
      <c r="G144" s="31"/>
      <c r="H144" s="31">
        <v>1.35</v>
      </c>
      <c r="I144" s="31">
        <v>1.3</v>
      </c>
      <c r="J144" s="31">
        <v>1.0777000000000001</v>
      </c>
      <c r="K144" s="30">
        <f t="shared" si="0"/>
        <v>66471.901551004965</v>
      </c>
      <c r="L144" s="30">
        <f t="shared" si="21"/>
        <v>2215392.6158283837</v>
      </c>
    </row>
    <row r="145" spans="1:12" ht="30" customHeight="1" x14ac:dyDescent="0.2">
      <c r="A145" s="27" t="s">
        <v>1049</v>
      </c>
      <c r="B145" s="27"/>
      <c r="C145" s="27" t="s">
        <v>1074</v>
      </c>
      <c r="D145" s="31">
        <f>D144+0.316+0.283</f>
        <v>11.532399999999999</v>
      </c>
      <c r="E145" s="27">
        <v>33003</v>
      </c>
      <c r="F145" s="31"/>
      <c r="G145" s="31">
        <v>1.22</v>
      </c>
      <c r="H145" s="31">
        <v>1.35</v>
      </c>
      <c r="I145" s="31">
        <v>1.3</v>
      </c>
      <c r="J145" s="31">
        <v>1.0777000000000001</v>
      </c>
      <c r="K145" s="30">
        <f t="shared" si="0"/>
        <v>76153.21690041</v>
      </c>
      <c r="L145" s="30">
        <f t="shared" si="21"/>
        <v>2291545.8327287938</v>
      </c>
    </row>
    <row r="146" spans="1:12" ht="30" customHeight="1" x14ac:dyDescent="0.2">
      <c r="A146" s="27" t="s">
        <v>1049</v>
      </c>
      <c r="B146" s="27"/>
      <c r="C146" s="27" t="s">
        <v>1075</v>
      </c>
      <c r="D146" s="31">
        <f>D145+1.533/5</f>
        <v>11.838999999999999</v>
      </c>
      <c r="E146" s="27">
        <v>33003</v>
      </c>
      <c r="F146" s="31"/>
      <c r="G146" s="31">
        <v>1.22</v>
      </c>
      <c r="H146" s="31">
        <v>1.35</v>
      </c>
      <c r="I146" s="31">
        <v>1.3</v>
      </c>
      <c r="J146" s="31">
        <v>1.0777000000000001</v>
      </c>
      <c r="K146" s="30">
        <f t="shared" si="0"/>
        <v>76153.21690041</v>
      </c>
      <c r="L146" s="30">
        <f t="shared" si="21"/>
        <v>2367699.049629204</v>
      </c>
    </row>
    <row r="147" spans="1:12" ht="30" customHeight="1" x14ac:dyDescent="0.2">
      <c r="A147" s="27" t="s">
        <v>1049</v>
      </c>
      <c r="B147" s="27"/>
      <c r="C147" s="27" t="s">
        <v>1076</v>
      </c>
      <c r="D147" s="31">
        <f t="shared" ref="D147:D149" si="28">D146+1.533/6</f>
        <v>12.094499999999998</v>
      </c>
      <c r="E147" s="27">
        <v>33003</v>
      </c>
      <c r="F147" s="31"/>
      <c r="G147" s="31">
        <v>1.22</v>
      </c>
      <c r="H147" s="31">
        <v>1.35</v>
      </c>
      <c r="I147" s="31">
        <v>1.3</v>
      </c>
      <c r="J147" s="31">
        <v>1.0777000000000001</v>
      </c>
      <c r="K147" s="30">
        <f t="shared" si="0"/>
        <v>76153.21690041</v>
      </c>
      <c r="L147" s="30">
        <f t="shared" si="21"/>
        <v>2443852.2665296141</v>
      </c>
    </row>
    <row r="148" spans="1:12" ht="30" customHeight="1" x14ac:dyDescent="0.2">
      <c r="A148" s="27" t="s">
        <v>1049</v>
      </c>
      <c r="B148" s="27"/>
      <c r="C148" s="27" t="s">
        <v>1077</v>
      </c>
      <c r="D148" s="31">
        <f t="shared" si="28"/>
        <v>12.349999999999998</v>
      </c>
      <c r="E148" s="27">
        <v>33003</v>
      </c>
      <c r="F148" s="31"/>
      <c r="G148" s="31">
        <v>1.22</v>
      </c>
      <c r="H148" s="31">
        <v>1.35</v>
      </c>
      <c r="I148" s="31">
        <v>1.3</v>
      </c>
      <c r="J148" s="31">
        <v>1.0777000000000001</v>
      </c>
      <c r="K148" s="30">
        <f t="shared" si="0"/>
        <v>76153.21690041</v>
      </c>
      <c r="L148" s="30">
        <f t="shared" si="21"/>
        <v>2520005.4834300242</v>
      </c>
    </row>
    <row r="149" spans="1:12" ht="30" customHeight="1" x14ac:dyDescent="0.2">
      <c r="A149" s="27" t="s">
        <v>1049</v>
      </c>
      <c r="B149" s="27"/>
      <c r="C149" s="27" t="s">
        <v>1078</v>
      </c>
      <c r="D149" s="31">
        <f t="shared" si="28"/>
        <v>12.605499999999997</v>
      </c>
      <c r="E149" s="27">
        <v>33003</v>
      </c>
      <c r="F149" s="31"/>
      <c r="G149" s="31">
        <v>1.22</v>
      </c>
      <c r="H149" s="31">
        <v>1.35</v>
      </c>
      <c r="I149" s="31">
        <v>1.3</v>
      </c>
      <c r="J149" s="31">
        <v>1.0777000000000001</v>
      </c>
      <c r="K149" s="30">
        <f t="shared" si="0"/>
        <v>76153.21690041</v>
      </c>
      <c r="L149" s="30">
        <f t="shared" si="21"/>
        <v>2596158.7003304344</v>
      </c>
    </row>
    <row r="150" spans="1:12" ht="30" customHeight="1" x14ac:dyDescent="0.2">
      <c r="A150" s="27" t="s">
        <v>1049</v>
      </c>
      <c r="B150" s="27"/>
      <c r="C150" s="27" t="s">
        <v>1079</v>
      </c>
      <c r="D150" s="31">
        <f>D149+1.533/5</f>
        <v>12.912099999999997</v>
      </c>
      <c r="E150" s="27">
        <v>33003</v>
      </c>
      <c r="F150" s="31"/>
      <c r="G150" s="31">
        <v>1.22</v>
      </c>
      <c r="H150" s="31">
        <v>1.35</v>
      </c>
      <c r="I150" s="31">
        <v>1.3</v>
      </c>
      <c r="J150" s="31">
        <v>1.0777000000000001</v>
      </c>
      <c r="K150" s="30">
        <f t="shared" si="0"/>
        <v>76153.21690041</v>
      </c>
      <c r="L150" s="65">
        <f t="shared" si="21"/>
        <v>2672311.9172308445</v>
      </c>
    </row>
    <row r="151" spans="1:12" ht="30" customHeight="1" x14ac:dyDescent="0.2">
      <c r="A151" s="27" t="s">
        <v>1080</v>
      </c>
      <c r="B151" s="27"/>
      <c r="C151" s="27" t="s">
        <v>1081</v>
      </c>
      <c r="D151" s="31">
        <v>0</v>
      </c>
      <c r="E151" s="27">
        <v>54963</v>
      </c>
      <c r="F151" s="31"/>
      <c r="G151" s="31">
        <v>1.135</v>
      </c>
      <c r="H151" s="31">
        <v>1.35</v>
      </c>
      <c r="I151" s="31">
        <v>1.3</v>
      </c>
      <c r="J151" s="31"/>
      <c r="K151" s="30">
        <f t="shared" si="0"/>
        <v>109482.173775</v>
      </c>
      <c r="L151" s="30">
        <f>K151</f>
        <v>109482.173775</v>
      </c>
    </row>
    <row r="152" spans="1:12" ht="30" customHeight="1" x14ac:dyDescent="0.2">
      <c r="A152" s="27" t="s">
        <v>1080</v>
      </c>
      <c r="B152" s="27"/>
      <c r="C152" s="27" t="s">
        <v>1082</v>
      </c>
      <c r="D152" s="31">
        <v>0.65</v>
      </c>
      <c r="E152" s="30">
        <v>27149</v>
      </c>
      <c r="F152" s="31">
        <v>1.1499999999999999</v>
      </c>
      <c r="G152" s="31">
        <v>1.22</v>
      </c>
      <c r="H152" s="31">
        <v>1.35</v>
      </c>
      <c r="I152" s="31">
        <v>1.3</v>
      </c>
      <c r="J152" s="31">
        <v>1.0777000000000001</v>
      </c>
      <c r="K152" s="30">
        <f t="shared" si="0"/>
        <v>72042.124609084509</v>
      </c>
      <c r="L152" s="30">
        <f t="shared" ref="L152:L169" si="29">L151+K152</f>
        <v>181524.29838408451</v>
      </c>
    </row>
    <row r="153" spans="1:12" ht="30" customHeight="1" x14ac:dyDescent="0.2">
      <c r="A153" s="27" t="s">
        <v>1080</v>
      </c>
      <c r="B153" s="27"/>
      <c r="C153" s="27" t="s">
        <v>955</v>
      </c>
      <c r="D153" s="31">
        <v>1.8160000000000001</v>
      </c>
      <c r="E153" s="30">
        <v>123646</v>
      </c>
      <c r="F153" s="31"/>
      <c r="G153" s="31">
        <v>1.22</v>
      </c>
      <c r="H153" s="31">
        <v>1.35</v>
      </c>
      <c r="I153" s="31">
        <v>1.3</v>
      </c>
      <c r="J153" s="31">
        <v>1.0777000000000001</v>
      </c>
      <c r="K153" s="30">
        <f t="shared" si="0"/>
        <v>285308.62821162003</v>
      </c>
      <c r="L153" s="30">
        <f t="shared" si="29"/>
        <v>466832.92659570451</v>
      </c>
    </row>
    <row r="154" spans="1:12" ht="30" customHeight="1" x14ac:dyDescent="0.2">
      <c r="A154" s="27" t="s">
        <v>1080</v>
      </c>
      <c r="B154" s="27"/>
      <c r="C154" s="27" t="s">
        <v>956</v>
      </c>
      <c r="D154" s="31">
        <f t="shared" ref="D154:D156" si="30">D153+1.183</f>
        <v>2.9990000000000001</v>
      </c>
      <c r="E154" s="30">
        <v>123646</v>
      </c>
      <c r="F154" s="31"/>
      <c r="G154" s="31">
        <v>1.22</v>
      </c>
      <c r="H154" s="31">
        <v>1.35</v>
      </c>
      <c r="I154" s="31">
        <v>1.3</v>
      </c>
      <c r="J154" s="31">
        <v>1.0777000000000001</v>
      </c>
      <c r="K154" s="30">
        <f t="shared" si="0"/>
        <v>285308.62821162003</v>
      </c>
      <c r="L154" s="30">
        <f t="shared" si="29"/>
        <v>752141.55480732454</v>
      </c>
    </row>
    <row r="155" spans="1:12" ht="30" customHeight="1" x14ac:dyDescent="0.2">
      <c r="A155" s="27" t="s">
        <v>1080</v>
      </c>
      <c r="B155" s="27"/>
      <c r="C155" s="27" t="s">
        <v>957</v>
      </c>
      <c r="D155" s="31">
        <f t="shared" si="30"/>
        <v>4.1820000000000004</v>
      </c>
      <c r="E155" s="30">
        <v>123646</v>
      </c>
      <c r="F155" s="31"/>
      <c r="G155" s="31">
        <v>1.22</v>
      </c>
      <c r="H155" s="31">
        <v>1.35</v>
      </c>
      <c r="I155" s="31">
        <v>1.3</v>
      </c>
      <c r="J155" s="31">
        <v>1.0777000000000001</v>
      </c>
      <c r="K155" s="30">
        <f t="shared" si="0"/>
        <v>285308.62821162003</v>
      </c>
      <c r="L155" s="30">
        <f t="shared" si="29"/>
        <v>1037450.1830189446</v>
      </c>
    </row>
    <row r="156" spans="1:12" ht="30" customHeight="1" x14ac:dyDescent="0.2">
      <c r="A156" s="27" t="s">
        <v>1080</v>
      </c>
      <c r="B156" s="27"/>
      <c r="C156" s="27" t="s">
        <v>958</v>
      </c>
      <c r="D156" s="31">
        <f t="shared" si="30"/>
        <v>5.3650000000000002</v>
      </c>
      <c r="E156" s="30">
        <v>123646</v>
      </c>
      <c r="F156" s="31"/>
      <c r="G156" s="31">
        <v>1.22</v>
      </c>
      <c r="H156" s="31">
        <v>1.35</v>
      </c>
      <c r="I156" s="31">
        <v>1.3</v>
      </c>
      <c r="J156" s="31">
        <v>1.0777000000000001</v>
      </c>
      <c r="K156" s="30">
        <f t="shared" si="0"/>
        <v>285308.62821162003</v>
      </c>
      <c r="L156" s="30">
        <f t="shared" si="29"/>
        <v>1322758.8112305645</v>
      </c>
    </row>
    <row r="157" spans="1:12" ht="30" customHeight="1" x14ac:dyDescent="0.2">
      <c r="A157" s="27" t="s">
        <v>1080</v>
      </c>
      <c r="B157" s="27"/>
      <c r="C157" s="27" t="s">
        <v>1083</v>
      </c>
      <c r="D157" s="31">
        <f>D156+0.55</f>
        <v>5.915</v>
      </c>
      <c r="E157" s="27">
        <v>51784</v>
      </c>
      <c r="F157" s="31"/>
      <c r="G157" s="31">
        <v>1.135</v>
      </c>
      <c r="H157" s="31">
        <v>1.35</v>
      </c>
      <c r="I157" s="31">
        <v>1.3</v>
      </c>
      <c r="J157" s="31"/>
      <c r="K157" s="30">
        <f t="shared" si="0"/>
        <v>103149.84420000002</v>
      </c>
      <c r="L157" s="30">
        <f t="shared" si="29"/>
        <v>1425908.6554305644</v>
      </c>
    </row>
    <row r="158" spans="1:12" ht="30" customHeight="1" x14ac:dyDescent="0.2">
      <c r="A158" s="27" t="s">
        <v>1080</v>
      </c>
      <c r="B158" s="27"/>
      <c r="C158" s="27" t="s">
        <v>1084</v>
      </c>
      <c r="D158" s="31">
        <f t="shared" ref="D158:D160" si="31">D157+0.7</f>
        <v>6.6150000000000002</v>
      </c>
      <c r="E158" s="30">
        <v>27149</v>
      </c>
      <c r="F158" s="31">
        <v>1.1499999999999999</v>
      </c>
      <c r="G158" s="31">
        <v>1.22</v>
      </c>
      <c r="H158" s="31">
        <v>1.35</v>
      </c>
      <c r="I158" s="31">
        <v>1.3</v>
      </c>
      <c r="J158" s="31">
        <v>1.0777000000000001</v>
      </c>
      <c r="K158" s="30">
        <f t="shared" si="0"/>
        <v>72042.124609084509</v>
      </c>
      <c r="L158" s="30">
        <f t="shared" si="29"/>
        <v>1497950.780039649</v>
      </c>
    </row>
    <row r="159" spans="1:12" ht="30" customHeight="1" x14ac:dyDescent="0.2">
      <c r="A159" s="27" t="s">
        <v>1080</v>
      </c>
      <c r="B159" s="27"/>
      <c r="C159" s="27" t="s">
        <v>1085</v>
      </c>
      <c r="D159" s="31">
        <f t="shared" si="31"/>
        <v>7.3150000000000004</v>
      </c>
      <c r="E159" s="27">
        <v>54963</v>
      </c>
      <c r="F159" s="31"/>
      <c r="G159" s="31">
        <v>1.135</v>
      </c>
      <c r="H159" s="31">
        <v>1.35</v>
      </c>
      <c r="I159" s="31">
        <v>1.3</v>
      </c>
      <c r="J159" s="31"/>
      <c r="K159" s="30">
        <f t="shared" si="0"/>
        <v>109482.173775</v>
      </c>
      <c r="L159" s="30">
        <f t="shared" si="29"/>
        <v>1607432.953814649</v>
      </c>
    </row>
    <row r="160" spans="1:12" ht="30" customHeight="1" x14ac:dyDescent="0.2">
      <c r="A160" s="27" t="s">
        <v>1080</v>
      </c>
      <c r="B160" s="27"/>
      <c r="C160" s="27" t="s">
        <v>1086</v>
      </c>
      <c r="D160" s="31">
        <f t="shared" si="31"/>
        <v>8.0150000000000006</v>
      </c>
      <c r="E160" s="30">
        <v>27149</v>
      </c>
      <c r="F160" s="31">
        <v>1.1499999999999999</v>
      </c>
      <c r="G160" s="31">
        <v>1.22</v>
      </c>
      <c r="H160" s="31">
        <v>1.35</v>
      </c>
      <c r="I160" s="31">
        <v>1.3</v>
      </c>
      <c r="J160" s="31">
        <v>1.0777000000000001</v>
      </c>
      <c r="K160" s="30">
        <f t="shared" si="0"/>
        <v>72042.124609084509</v>
      </c>
      <c r="L160" s="30">
        <f t="shared" si="29"/>
        <v>1679475.0784237336</v>
      </c>
    </row>
    <row r="161" spans="1:12" ht="30" customHeight="1" x14ac:dyDescent="0.2">
      <c r="A161" s="27" t="s">
        <v>1080</v>
      </c>
      <c r="B161" s="27"/>
      <c r="C161" s="27" t="s">
        <v>959</v>
      </c>
      <c r="D161" s="31">
        <f>D160+0.966</f>
        <v>8.9809999999999999</v>
      </c>
      <c r="E161" s="30">
        <v>123646</v>
      </c>
      <c r="F161" s="31"/>
      <c r="G161" s="31">
        <v>1.22</v>
      </c>
      <c r="H161" s="31">
        <v>1.35</v>
      </c>
      <c r="I161" s="31">
        <v>1.3</v>
      </c>
      <c r="J161" s="31">
        <v>1.0777000000000001</v>
      </c>
      <c r="K161" s="30">
        <f t="shared" si="0"/>
        <v>285308.62821162003</v>
      </c>
      <c r="L161" s="30">
        <f t="shared" si="29"/>
        <v>1964783.7066353536</v>
      </c>
    </row>
    <row r="162" spans="1:12" ht="30" customHeight="1" x14ac:dyDescent="0.2">
      <c r="A162" s="27" t="s">
        <v>1080</v>
      </c>
      <c r="B162" s="27"/>
      <c r="C162" s="27" t="s">
        <v>960</v>
      </c>
      <c r="D162" s="31">
        <f t="shared" ref="D162:D163" si="32">D161+1.183</f>
        <v>10.164</v>
      </c>
      <c r="E162" s="30">
        <v>123646</v>
      </c>
      <c r="F162" s="31"/>
      <c r="G162" s="31">
        <v>1.22</v>
      </c>
      <c r="H162" s="31">
        <v>1.35</v>
      </c>
      <c r="I162" s="31">
        <v>1.3</v>
      </c>
      <c r="J162" s="31">
        <v>1.0777000000000001</v>
      </c>
      <c r="K162" s="30">
        <f t="shared" si="0"/>
        <v>285308.62821162003</v>
      </c>
      <c r="L162" s="30">
        <f t="shared" si="29"/>
        <v>2250092.3348469734</v>
      </c>
    </row>
    <row r="163" spans="1:12" ht="30" customHeight="1" x14ac:dyDescent="0.2">
      <c r="A163" s="27" t="s">
        <v>1080</v>
      </c>
      <c r="B163" s="27"/>
      <c r="C163" s="27" t="s">
        <v>961</v>
      </c>
      <c r="D163" s="31">
        <f t="shared" si="32"/>
        <v>11.347</v>
      </c>
      <c r="E163" s="30">
        <v>123646</v>
      </c>
      <c r="F163" s="31"/>
      <c r="G163" s="31">
        <v>1.22</v>
      </c>
      <c r="H163" s="31">
        <v>1.35</v>
      </c>
      <c r="I163" s="31">
        <v>1.3</v>
      </c>
      <c r="J163" s="31">
        <v>1.0777000000000001</v>
      </c>
      <c r="K163" s="30">
        <f t="shared" si="0"/>
        <v>285308.62821162003</v>
      </c>
      <c r="L163" s="30">
        <f t="shared" si="29"/>
        <v>2535400.9630585937</v>
      </c>
    </row>
    <row r="164" spans="1:12" ht="30" customHeight="1" x14ac:dyDescent="0.2">
      <c r="A164" s="27" t="s">
        <v>1080</v>
      </c>
      <c r="B164" s="27"/>
      <c r="C164" s="27" t="s">
        <v>1087</v>
      </c>
      <c r="D164" s="31">
        <f>D163+0.55</f>
        <v>11.897</v>
      </c>
      <c r="E164" s="27">
        <v>51784</v>
      </c>
      <c r="F164" s="31"/>
      <c r="G164" s="31">
        <v>1.135</v>
      </c>
      <c r="H164" s="31">
        <v>1.35</v>
      </c>
      <c r="I164" s="31">
        <v>1.3</v>
      </c>
      <c r="J164" s="31"/>
      <c r="K164" s="30">
        <f t="shared" si="0"/>
        <v>103149.84420000002</v>
      </c>
      <c r="L164" s="30">
        <f t="shared" si="29"/>
        <v>2638550.8072585938</v>
      </c>
    </row>
    <row r="165" spans="1:12" ht="30" customHeight="1" x14ac:dyDescent="0.2">
      <c r="A165" s="27" t="s">
        <v>1080</v>
      </c>
      <c r="B165" s="27"/>
      <c r="C165" s="27" t="s">
        <v>1088</v>
      </c>
      <c r="D165" s="31">
        <f t="shared" ref="D165:D167" si="33">D164+0.7</f>
        <v>12.597</v>
      </c>
      <c r="E165" s="30">
        <v>27149</v>
      </c>
      <c r="F165" s="31">
        <v>1.1499999999999999</v>
      </c>
      <c r="G165" s="31">
        <v>1.22</v>
      </c>
      <c r="H165" s="31">
        <v>1.35</v>
      </c>
      <c r="I165" s="31">
        <v>1.3</v>
      </c>
      <c r="J165" s="31">
        <v>1.0777000000000001</v>
      </c>
      <c r="K165" s="30">
        <f t="shared" si="0"/>
        <v>72042.124609084509</v>
      </c>
      <c r="L165" s="30">
        <f t="shared" si="29"/>
        <v>2710592.9318676782</v>
      </c>
    </row>
    <row r="166" spans="1:12" ht="30" customHeight="1" x14ac:dyDescent="0.2">
      <c r="A166" s="27" t="s">
        <v>1080</v>
      </c>
      <c r="B166" s="27"/>
      <c r="C166" s="27" t="s">
        <v>1089</v>
      </c>
      <c r="D166" s="31">
        <f t="shared" si="33"/>
        <v>13.296999999999999</v>
      </c>
      <c r="E166" s="27">
        <v>54963</v>
      </c>
      <c r="F166" s="31"/>
      <c r="G166" s="31">
        <v>1.135</v>
      </c>
      <c r="H166" s="31">
        <v>1.35</v>
      </c>
      <c r="I166" s="31">
        <v>1.3</v>
      </c>
      <c r="J166" s="31"/>
      <c r="K166" s="30">
        <f t="shared" si="0"/>
        <v>109482.173775</v>
      </c>
      <c r="L166" s="30">
        <f t="shared" si="29"/>
        <v>2820075.1056426782</v>
      </c>
    </row>
    <row r="167" spans="1:12" ht="30" customHeight="1" x14ac:dyDescent="0.2">
      <c r="A167" s="27" t="s">
        <v>1080</v>
      </c>
      <c r="B167" s="27"/>
      <c r="C167" s="27" t="s">
        <v>1090</v>
      </c>
      <c r="D167" s="31">
        <f t="shared" si="33"/>
        <v>13.996999999999998</v>
      </c>
      <c r="E167" s="30">
        <v>27149</v>
      </c>
      <c r="F167" s="31">
        <v>1.1499999999999999</v>
      </c>
      <c r="G167" s="31">
        <v>1.22</v>
      </c>
      <c r="H167" s="31">
        <v>1.35</v>
      </c>
      <c r="I167" s="31">
        <v>1.3</v>
      </c>
      <c r="J167" s="31">
        <v>1.0777000000000001</v>
      </c>
      <c r="K167" s="30">
        <f t="shared" si="0"/>
        <v>72042.124609084509</v>
      </c>
      <c r="L167" s="30">
        <f t="shared" si="29"/>
        <v>2892117.2302517626</v>
      </c>
    </row>
    <row r="168" spans="1:12" ht="30" customHeight="1" x14ac:dyDescent="0.2">
      <c r="A168" s="27" t="s">
        <v>1080</v>
      </c>
      <c r="B168" s="27"/>
      <c r="C168" s="27" t="s">
        <v>962</v>
      </c>
      <c r="D168" s="31">
        <f>D167+0.966</f>
        <v>14.962999999999997</v>
      </c>
      <c r="E168" s="30">
        <v>123646</v>
      </c>
      <c r="F168" s="31"/>
      <c r="G168" s="31">
        <v>1.22</v>
      </c>
      <c r="H168" s="31">
        <v>1.35</v>
      </c>
      <c r="I168" s="31">
        <v>1.3</v>
      </c>
      <c r="J168" s="31">
        <v>1.0777000000000001</v>
      </c>
      <c r="K168" s="30">
        <f t="shared" si="0"/>
        <v>285308.62821162003</v>
      </c>
      <c r="L168" s="30">
        <f t="shared" si="29"/>
        <v>3177425.8584633823</v>
      </c>
    </row>
    <row r="169" spans="1:12" ht="30" customHeight="1" x14ac:dyDescent="0.2">
      <c r="A169" s="27" t="s">
        <v>1080</v>
      </c>
      <c r="B169" s="27"/>
      <c r="C169" s="27" t="s">
        <v>963</v>
      </c>
      <c r="D169" s="31">
        <f>D168+1.183</f>
        <v>16.145999999999997</v>
      </c>
      <c r="E169" s="30">
        <v>123646</v>
      </c>
      <c r="F169" s="31"/>
      <c r="G169" s="31">
        <v>1.22</v>
      </c>
      <c r="H169" s="31">
        <v>1.35</v>
      </c>
      <c r="I169" s="31">
        <v>1.3</v>
      </c>
      <c r="J169" s="31">
        <v>1.0777000000000001</v>
      </c>
      <c r="K169" s="30">
        <f t="shared" si="0"/>
        <v>285308.62821162003</v>
      </c>
      <c r="L169" s="65">
        <f t="shared" si="29"/>
        <v>3462734.4866750026</v>
      </c>
    </row>
    <row r="170" spans="1:12" ht="30" customHeight="1" x14ac:dyDescent="0.2">
      <c r="A170" s="27" t="s">
        <v>1091</v>
      </c>
      <c r="B170" s="27"/>
      <c r="C170" s="27" t="s">
        <v>936</v>
      </c>
      <c r="D170" s="31">
        <v>1.6659999999999999</v>
      </c>
      <c r="E170" s="30">
        <v>566782</v>
      </c>
      <c r="F170" s="31"/>
      <c r="G170" s="31"/>
      <c r="H170" s="31"/>
      <c r="I170" s="31">
        <v>1.3</v>
      </c>
      <c r="J170" s="31"/>
      <c r="K170" s="30">
        <f t="shared" si="0"/>
        <v>736816.6</v>
      </c>
      <c r="L170" s="30">
        <f>K170</f>
        <v>736816.6</v>
      </c>
    </row>
    <row r="171" spans="1:12" ht="30" customHeight="1" x14ac:dyDescent="0.2">
      <c r="A171" s="27" t="s">
        <v>1091</v>
      </c>
      <c r="B171" s="27"/>
      <c r="C171" s="27" t="s">
        <v>1092</v>
      </c>
      <c r="D171" s="31">
        <v>8</v>
      </c>
      <c r="E171" s="30">
        <v>139370</v>
      </c>
      <c r="F171" s="31"/>
      <c r="G171" s="31">
        <v>1.22</v>
      </c>
      <c r="H171" s="31">
        <v>1.35</v>
      </c>
      <c r="I171" s="31">
        <v>1.3</v>
      </c>
      <c r="J171" s="31"/>
      <c r="K171" s="30">
        <f t="shared" si="0"/>
        <v>298405.10700000002</v>
      </c>
      <c r="L171" s="30">
        <f t="shared" ref="L171:L179" si="34">L170+K171</f>
        <v>1035221.7069999999</v>
      </c>
    </row>
    <row r="172" spans="1:12" ht="30" customHeight="1" x14ac:dyDescent="0.2">
      <c r="A172" s="27" t="s">
        <v>1091</v>
      </c>
      <c r="B172" s="27"/>
      <c r="C172" s="27" t="s">
        <v>1093</v>
      </c>
      <c r="D172" s="31">
        <f t="shared" ref="D172:D179" si="35">D171+1.5</f>
        <v>9.5</v>
      </c>
      <c r="E172" s="30">
        <v>139370</v>
      </c>
      <c r="F172" s="31"/>
      <c r="G172" s="31">
        <v>1.22</v>
      </c>
      <c r="H172" s="31">
        <v>1.35</v>
      </c>
      <c r="I172" s="31">
        <v>1.3</v>
      </c>
      <c r="J172" s="31"/>
      <c r="K172" s="30">
        <f t="shared" si="0"/>
        <v>298405.10700000002</v>
      </c>
      <c r="L172" s="30">
        <f t="shared" si="34"/>
        <v>1333626.814</v>
      </c>
    </row>
    <row r="173" spans="1:12" ht="30" customHeight="1" x14ac:dyDescent="0.2">
      <c r="A173" s="27" t="s">
        <v>1091</v>
      </c>
      <c r="B173" s="27"/>
      <c r="C173" s="27" t="s">
        <v>1094</v>
      </c>
      <c r="D173" s="31">
        <f t="shared" si="35"/>
        <v>11</v>
      </c>
      <c r="E173" s="30">
        <v>139370</v>
      </c>
      <c r="F173" s="31"/>
      <c r="G173" s="31">
        <v>1.22</v>
      </c>
      <c r="H173" s="31">
        <v>1.35</v>
      </c>
      <c r="I173" s="31">
        <v>1.3</v>
      </c>
      <c r="J173" s="31"/>
      <c r="K173" s="30">
        <f t="shared" si="0"/>
        <v>298405.10700000002</v>
      </c>
      <c r="L173" s="30">
        <f t="shared" si="34"/>
        <v>1632031.9210000001</v>
      </c>
    </row>
    <row r="174" spans="1:12" ht="30" customHeight="1" x14ac:dyDescent="0.2">
      <c r="A174" s="27" t="s">
        <v>1091</v>
      </c>
      <c r="B174" s="27"/>
      <c r="C174" s="27" t="s">
        <v>1095</v>
      </c>
      <c r="D174" s="31">
        <f t="shared" si="35"/>
        <v>12.5</v>
      </c>
      <c r="E174" s="30">
        <v>139370</v>
      </c>
      <c r="F174" s="31"/>
      <c r="G174" s="31">
        <v>1.22</v>
      </c>
      <c r="H174" s="31">
        <v>1.35</v>
      </c>
      <c r="I174" s="31">
        <v>1.3</v>
      </c>
      <c r="J174" s="31"/>
      <c r="K174" s="30">
        <f t="shared" si="0"/>
        <v>298405.10700000002</v>
      </c>
      <c r="L174" s="30">
        <f t="shared" si="34"/>
        <v>1930437.0280000002</v>
      </c>
    </row>
    <row r="175" spans="1:12" ht="30" customHeight="1" x14ac:dyDescent="0.2">
      <c r="A175" s="27" t="s">
        <v>1091</v>
      </c>
      <c r="B175" s="27"/>
      <c r="C175" s="27" t="s">
        <v>1096</v>
      </c>
      <c r="D175" s="31">
        <f t="shared" si="35"/>
        <v>14</v>
      </c>
      <c r="E175" s="30">
        <v>139370</v>
      </c>
      <c r="F175" s="31"/>
      <c r="G175" s="31">
        <v>1.22</v>
      </c>
      <c r="H175" s="31">
        <v>1.35</v>
      </c>
      <c r="I175" s="31">
        <v>1.3</v>
      </c>
      <c r="J175" s="31"/>
      <c r="K175" s="30">
        <f t="shared" si="0"/>
        <v>298405.10700000002</v>
      </c>
      <c r="L175" s="30">
        <f t="shared" si="34"/>
        <v>2228842.1350000002</v>
      </c>
    </row>
    <row r="176" spans="1:12" ht="30" customHeight="1" x14ac:dyDescent="0.2">
      <c r="A176" s="27" t="s">
        <v>1091</v>
      </c>
      <c r="B176" s="27"/>
      <c r="C176" s="27" t="s">
        <v>1097</v>
      </c>
      <c r="D176" s="31">
        <f t="shared" si="35"/>
        <v>15.5</v>
      </c>
      <c r="E176" s="30">
        <v>139370</v>
      </c>
      <c r="F176" s="31"/>
      <c r="G176" s="31">
        <v>1.22</v>
      </c>
      <c r="H176" s="31">
        <v>1.35</v>
      </c>
      <c r="I176" s="31">
        <v>1.3</v>
      </c>
      <c r="J176" s="31"/>
      <c r="K176" s="30">
        <f t="shared" si="0"/>
        <v>298405.10700000002</v>
      </c>
      <c r="L176" s="30">
        <f t="shared" si="34"/>
        <v>2527247.2420000001</v>
      </c>
    </row>
    <row r="177" spans="1:12" ht="30" customHeight="1" x14ac:dyDescent="0.2">
      <c r="A177" s="27" t="s">
        <v>1091</v>
      </c>
      <c r="B177" s="27"/>
      <c r="C177" s="27" t="s">
        <v>1098</v>
      </c>
      <c r="D177" s="31">
        <f t="shared" si="35"/>
        <v>17</v>
      </c>
      <c r="E177" s="30">
        <v>139370</v>
      </c>
      <c r="F177" s="31"/>
      <c r="G177" s="31">
        <v>1.22</v>
      </c>
      <c r="H177" s="31">
        <v>1.35</v>
      </c>
      <c r="I177" s="31">
        <v>1.3</v>
      </c>
      <c r="J177" s="31"/>
      <c r="K177" s="30">
        <f t="shared" si="0"/>
        <v>298405.10700000002</v>
      </c>
      <c r="L177" s="30">
        <f t="shared" si="34"/>
        <v>2825652.3489999999</v>
      </c>
    </row>
    <row r="178" spans="1:12" ht="30" customHeight="1" x14ac:dyDescent="0.2">
      <c r="A178" s="27" t="s">
        <v>1091</v>
      </c>
      <c r="B178" s="27"/>
      <c r="C178" s="27" t="s">
        <v>1099</v>
      </c>
      <c r="D178" s="31">
        <f t="shared" si="35"/>
        <v>18.5</v>
      </c>
      <c r="E178" s="30">
        <v>139370</v>
      </c>
      <c r="F178" s="31"/>
      <c r="G178" s="31">
        <v>1.22</v>
      </c>
      <c r="H178" s="31">
        <v>1.35</v>
      </c>
      <c r="I178" s="31">
        <v>1.3</v>
      </c>
      <c r="J178" s="31"/>
      <c r="K178" s="30">
        <f t="shared" si="0"/>
        <v>298405.10700000002</v>
      </c>
      <c r="L178" s="30">
        <f t="shared" si="34"/>
        <v>3124057.4559999998</v>
      </c>
    </row>
    <row r="179" spans="1:12" ht="30" customHeight="1" x14ac:dyDescent="0.2">
      <c r="A179" s="27" t="s">
        <v>1091</v>
      </c>
      <c r="B179" s="27"/>
      <c r="C179" s="27" t="s">
        <v>1100</v>
      </c>
      <c r="D179" s="31">
        <f t="shared" si="35"/>
        <v>20</v>
      </c>
      <c r="E179" s="30">
        <v>139370</v>
      </c>
      <c r="F179" s="31"/>
      <c r="G179" s="31">
        <v>1.22</v>
      </c>
      <c r="H179" s="31">
        <v>1.35</v>
      </c>
      <c r="I179" s="31">
        <v>1.3</v>
      </c>
      <c r="J179" s="31"/>
      <c r="K179" s="30">
        <f t="shared" si="0"/>
        <v>298405.10700000002</v>
      </c>
      <c r="L179" s="65">
        <f t="shared" si="34"/>
        <v>3422462.5629999996</v>
      </c>
    </row>
    <row r="180" spans="1:12" ht="30" customHeight="1" x14ac:dyDescent="0.2">
      <c r="A180" s="27" t="s">
        <v>1101</v>
      </c>
      <c r="B180" s="27"/>
      <c r="C180" s="27" t="s">
        <v>1102</v>
      </c>
      <c r="D180" s="31">
        <v>0</v>
      </c>
      <c r="E180" s="30">
        <f>27050*1.1</f>
        <v>29755.000000000004</v>
      </c>
      <c r="F180" s="31"/>
      <c r="G180" s="31">
        <v>1.1000000000000001</v>
      </c>
      <c r="H180" s="31">
        <v>1.35</v>
      </c>
      <c r="I180" s="31">
        <v>1.3</v>
      </c>
      <c r="J180" s="31"/>
      <c r="K180" s="30">
        <f t="shared" si="0"/>
        <v>57442.027500000018</v>
      </c>
      <c r="L180" s="30">
        <f>K180</f>
        <v>57442.027500000018</v>
      </c>
    </row>
    <row r="181" spans="1:12" ht="30" customHeight="1" x14ac:dyDescent="0.2">
      <c r="A181" s="27" t="s">
        <v>1101</v>
      </c>
      <c r="B181" s="27"/>
      <c r="C181" s="27" t="s">
        <v>936</v>
      </c>
      <c r="D181" s="31">
        <v>1.6659999999999999</v>
      </c>
      <c r="E181" s="30">
        <v>566782</v>
      </c>
      <c r="F181" s="31"/>
      <c r="G181" s="31"/>
      <c r="H181" s="31"/>
      <c r="I181" s="31">
        <v>1.3</v>
      </c>
      <c r="J181" s="31"/>
      <c r="K181" s="30">
        <f t="shared" si="0"/>
        <v>736816.6</v>
      </c>
      <c r="L181" s="30">
        <f t="shared" ref="L181:L182" si="36">K181+L180</f>
        <v>794258.62749999994</v>
      </c>
    </row>
    <row r="182" spans="1:12" ht="30" customHeight="1" x14ac:dyDescent="0.2">
      <c r="A182" s="27" t="s">
        <v>1101</v>
      </c>
      <c r="B182" s="27"/>
      <c r="C182" s="27" t="s">
        <v>1103</v>
      </c>
      <c r="D182" s="31">
        <v>2.8</v>
      </c>
      <c r="E182" s="30">
        <f>22365*1.15</f>
        <v>25719.749999999996</v>
      </c>
      <c r="F182" s="31">
        <v>1.1499999999999999</v>
      </c>
      <c r="G182" s="31">
        <v>1.1000000000000001</v>
      </c>
      <c r="H182" s="31">
        <v>1.35</v>
      </c>
      <c r="I182" s="31">
        <v>1.3</v>
      </c>
      <c r="J182" s="31">
        <v>1.0777000000000001</v>
      </c>
      <c r="K182" s="30">
        <f t="shared" si="0"/>
        <v>61536.426419593125</v>
      </c>
      <c r="L182" s="30">
        <f t="shared" si="36"/>
        <v>855795.05391959311</v>
      </c>
    </row>
    <row r="183" spans="1:12" ht="30" customHeight="1" x14ac:dyDescent="0.2">
      <c r="A183" s="27" t="s">
        <v>1101</v>
      </c>
      <c r="B183" s="27"/>
      <c r="C183" s="27" t="s">
        <v>1104</v>
      </c>
      <c r="D183" s="31">
        <f t="shared" ref="D183:D201" si="37">D182+0.5415</f>
        <v>3.3414999999999999</v>
      </c>
      <c r="E183" s="30">
        <v>22365</v>
      </c>
      <c r="F183" s="31">
        <v>1.1499999999999999</v>
      </c>
      <c r="G183" s="31">
        <v>1.1000000000000001</v>
      </c>
      <c r="H183" s="31">
        <v>1.35</v>
      </c>
      <c r="I183" s="31">
        <v>1.3</v>
      </c>
      <c r="J183" s="31">
        <v>1.0777000000000001</v>
      </c>
      <c r="K183" s="30">
        <f t="shared" si="0"/>
        <v>53509.936017037508</v>
      </c>
      <c r="L183" s="30">
        <f t="shared" ref="L183:L222" si="38">L182+K183</f>
        <v>909304.98993663059</v>
      </c>
    </row>
    <row r="184" spans="1:12" ht="30" customHeight="1" x14ac:dyDescent="0.2">
      <c r="A184" s="27" t="s">
        <v>1101</v>
      </c>
      <c r="B184" s="27"/>
      <c r="C184" s="27" t="s">
        <v>1105</v>
      </c>
      <c r="D184" s="31">
        <f t="shared" si="37"/>
        <v>3.883</v>
      </c>
      <c r="E184" s="30">
        <f>27050*1.1</f>
        <v>29755.000000000004</v>
      </c>
      <c r="F184" s="31"/>
      <c r="G184" s="31">
        <v>1.1000000000000001</v>
      </c>
      <c r="H184" s="31">
        <v>1.35</v>
      </c>
      <c r="I184" s="31">
        <v>1.3</v>
      </c>
      <c r="J184" s="31"/>
      <c r="K184" s="30">
        <f t="shared" si="0"/>
        <v>57442.027500000018</v>
      </c>
      <c r="L184" s="30">
        <f t="shared" si="38"/>
        <v>966747.01743663056</v>
      </c>
    </row>
    <row r="185" spans="1:12" ht="30" customHeight="1" x14ac:dyDescent="0.2">
      <c r="A185" s="27" t="s">
        <v>1101</v>
      </c>
      <c r="B185" s="27"/>
      <c r="C185" s="27" t="s">
        <v>1106</v>
      </c>
      <c r="D185" s="31">
        <f t="shared" si="37"/>
        <v>4.4245000000000001</v>
      </c>
      <c r="E185" s="30">
        <f>22365*1.15</f>
        <v>25719.749999999996</v>
      </c>
      <c r="F185" s="31">
        <v>1.1499999999999999</v>
      </c>
      <c r="G185" s="31">
        <v>1.1000000000000001</v>
      </c>
      <c r="H185" s="31">
        <v>1.35</v>
      </c>
      <c r="I185" s="31">
        <v>1.3</v>
      </c>
      <c r="J185" s="31">
        <v>1.0777000000000001</v>
      </c>
      <c r="K185" s="30">
        <f t="shared" si="0"/>
        <v>61536.426419593125</v>
      </c>
      <c r="L185" s="30">
        <f t="shared" si="38"/>
        <v>1028283.4438562237</v>
      </c>
    </row>
    <row r="186" spans="1:12" ht="30" customHeight="1" x14ac:dyDescent="0.2">
      <c r="A186" s="27" t="s">
        <v>1101</v>
      </c>
      <c r="B186" s="27"/>
      <c r="C186" s="27" t="s">
        <v>1107</v>
      </c>
      <c r="D186" s="31">
        <f t="shared" si="37"/>
        <v>4.9660000000000002</v>
      </c>
      <c r="E186" s="30">
        <v>22365</v>
      </c>
      <c r="F186" s="31">
        <v>1.1499999999999999</v>
      </c>
      <c r="G186" s="31">
        <v>1.1000000000000001</v>
      </c>
      <c r="H186" s="31">
        <v>1.35</v>
      </c>
      <c r="I186" s="31">
        <v>1.3</v>
      </c>
      <c r="J186" s="31">
        <v>1.0777000000000001</v>
      </c>
      <c r="K186" s="30">
        <f t="shared" si="0"/>
        <v>53509.936017037508</v>
      </c>
      <c r="L186" s="30">
        <f t="shared" si="38"/>
        <v>1081793.3798732613</v>
      </c>
    </row>
    <row r="187" spans="1:12" ht="30" customHeight="1" x14ac:dyDescent="0.2">
      <c r="A187" s="27" t="s">
        <v>1101</v>
      </c>
      <c r="B187" s="27"/>
      <c r="C187" s="27" t="s">
        <v>1108</v>
      </c>
      <c r="D187" s="31">
        <f t="shared" si="37"/>
        <v>5.5075000000000003</v>
      </c>
      <c r="E187" s="30">
        <f>27050*1.1</f>
        <v>29755.000000000004</v>
      </c>
      <c r="F187" s="31"/>
      <c r="G187" s="31">
        <v>1.1000000000000001</v>
      </c>
      <c r="H187" s="31">
        <v>1.35</v>
      </c>
      <c r="I187" s="31">
        <v>1.3</v>
      </c>
      <c r="J187" s="66"/>
      <c r="K187" s="30">
        <f t="shared" si="0"/>
        <v>57442.027500000018</v>
      </c>
      <c r="L187" s="30">
        <f t="shared" si="38"/>
        <v>1139235.4073732614</v>
      </c>
    </row>
    <row r="188" spans="1:12" ht="30" customHeight="1" x14ac:dyDescent="0.2">
      <c r="A188" s="27" t="s">
        <v>1101</v>
      </c>
      <c r="B188" s="27"/>
      <c r="C188" s="27" t="s">
        <v>1109</v>
      </c>
      <c r="D188" s="31">
        <f t="shared" si="37"/>
        <v>6.0490000000000004</v>
      </c>
      <c r="E188" s="30">
        <f>22365*1.15</f>
        <v>25719.749999999996</v>
      </c>
      <c r="F188" s="31">
        <v>1.1499999999999999</v>
      </c>
      <c r="G188" s="31">
        <v>1.1000000000000001</v>
      </c>
      <c r="H188" s="31">
        <v>1.35</v>
      </c>
      <c r="I188" s="31">
        <v>1.3</v>
      </c>
      <c r="J188" s="31">
        <v>1.0777000000000001</v>
      </c>
      <c r="K188" s="30">
        <f t="shared" si="0"/>
        <v>61536.426419593125</v>
      </c>
      <c r="L188" s="30">
        <f t="shared" si="38"/>
        <v>1200771.8337928546</v>
      </c>
    </row>
    <row r="189" spans="1:12" ht="30" customHeight="1" x14ac:dyDescent="0.2">
      <c r="A189" s="27" t="s">
        <v>1101</v>
      </c>
      <c r="B189" s="27"/>
      <c r="C189" s="27" t="s">
        <v>1110</v>
      </c>
      <c r="D189" s="31">
        <f t="shared" si="37"/>
        <v>6.5905000000000005</v>
      </c>
      <c r="E189" s="30">
        <v>22365</v>
      </c>
      <c r="F189" s="31">
        <v>1.1499999999999999</v>
      </c>
      <c r="G189" s="31">
        <v>1.1000000000000001</v>
      </c>
      <c r="H189" s="31">
        <v>1.35</v>
      </c>
      <c r="I189" s="31">
        <v>1.3</v>
      </c>
      <c r="J189" s="31">
        <v>1.0777000000000001</v>
      </c>
      <c r="K189" s="30">
        <f t="shared" si="0"/>
        <v>53509.936017037508</v>
      </c>
      <c r="L189" s="30">
        <f t="shared" si="38"/>
        <v>1254281.7698098922</v>
      </c>
    </row>
    <row r="190" spans="1:12" ht="30" customHeight="1" x14ac:dyDescent="0.2">
      <c r="A190" s="27" t="s">
        <v>1101</v>
      </c>
      <c r="B190" s="27"/>
      <c r="C190" s="27" t="s">
        <v>1111</v>
      </c>
      <c r="D190" s="31">
        <f t="shared" si="37"/>
        <v>7.1320000000000006</v>
      </c>
      <c r="E190" s="30">
        <f>27050*1.1</f>
        <v>29755.000000000004</v>
      </c>
      <c r="F190" s="31"/>
      <c r="G190" s="31">
        <v>1.1000000000000001</v>
      </c>
      <c r="H190" s="31">
        <v>1.35</v>
      </c>
      <c r="I190" s="31">
        <v>1.3</v>
      </c>
      <c r="J190" s="66"/>
      <c r="K190" s="30">
        <f t="shared" si="0"/>
        <v>57442.027500000018</v>
      </c>
      <c r="L190" s="30">
        <f t="shared" si="38"/>
        <v>1311723.7973098923</v>
      </c>
    </row>
    <row r="191" spans="1:12" ht="30" customHeight="1" x14ac:dyDescent="0.2">
      <c r="A191" s="27" t="s">
        <v>1101</v>
      </c>
      <c r="B191" s="27"/>
      <c r="C191" s="27" t="s">
        <v>1112</v>
      </c>
      <c r="D191" s="31">
        <f t="shared" si="37"/>
        <v>7.6735000000000007</v>
      </c>
      <c r="E191" s="30">
        <f>22365*1.15</f>
        <v>25719.749999999996</v>
      </c>
      <c r="F191" s="31">
        <v>1.1499999999999999</v>
      </c>
      <c r="G191" s="31">
        <v>1.1000000000000001</v>
      </c>
      <c r="H191" s="31">
        <v>1.35</v>
      </c>
      <c r="I191" s="31">
        <v>1.3</v>
      </c>
      <c r="J191" s="31">
        <v>1.0777000000000001</v>
      </c>
      <c r="K191" s="30">
        <f t="shared" si="0"/>
        <v>61536.426419593125</v>
      </c>
      <c r="L191" s="30">
        <f t="shared" si="38"/>
        <v>1373260.2237294854</v>
      </c>
    </row>
    <row r="192" spans="1:12" ht="30" customHeight="1" x14ac:dyDescent="0.2">
      <c r="A192" s="27" t="s">
        <v>1101</v>
      </c>
      <c r="B192" s="27"/>
      <c r="C192" s="27" t="s">
        <v>1113</v>
      </c>
      <c r="D192" s="31">
        <f t="shared" si="37"/>
        <v>8.2149999999999999</v>
      </c>
      <c r="E192" s="30">
        <v>22365</v>
      </c>
      <c r="F192" s="31">
        <v>1.1499999999999999</v>
      </c>
      <c r="G192" s="31">
        <v>1.1000000000000001</v>
      </c>
      <c r="H192" s="31">
        <v>1.35</v>
      </c>
      <c r="I192" s="31">
        <v>1.3</v>
      </c>
      <c r="J192" s="31">
        <v>1.0777000000000001</v>
      </c>
      <c r="K192" s="30">
        <f t="shared" si="0"/>
        <v>53509.936017037508</v>
      </c>
      <c r="L192" s="30">
        <f t="shared" si="38"/>
        <v>1426770.159746523</v>
      </c>
    </row>
    <row r="193" spans="1:12" ht="30" customHeight="1" x14ac:dyDescent="0.2">
      <c r="A193" s="27" t="s">
        <v>1101</v>
      </c>
      <c r="B193" s="27"/>
      <c r="C193" s="27" t="s">
        <v>1114</v>
      </c>
      <c r="D193" s="31">
        <f t="shared" si="37"/>
        <v>8.7564999999999991</v>
      </c>
      <c r="E193" s="30">
        <f>27050*1.1</f>
        <v>29755.000000000004</v>
      </c>
      <c r="F193" s="31"/>
      <c r="G193" s="31">
        <v>1.1000000000000001</v>
      </c>
      <c r="H193" s="31">
        <v>1.35</v>
      </c>
      <c r="I193" s="31">
        <v>1.3</v>
      </c>
      <c r="J193" s="66"/>
      <c r="K193" s="30">
        <f t="shared" si="0"/>
        <v>57442.027500000018</v>
      </c>
      <c r="L193" s="30">
        <f t="shared" si="38"/>
        <v>1484212.1872465231</v>
      </c>
    </row>
    <row r="194" spans="1:12" ht="30" customHeight="1" x14ac:dyDescent="0.2">
      <c r="A194" s="27" t="s">
        <v>1101</v>
      </c>
      <c r="B194" s="27"/>
      <c r="C194" s="27" t="s">
        <v>1115</v>
      </c>
      <c r="D194" s="31">
        <f t="shared" si="37"/>
        <v>9.2979999999999983</v>
      </c>
      <c r="E194" s="30">
        <f>22365*1.15</f>
        <v>25719.749999999996</v>
      </c>
      <c r="F194" s="31">
        <v>1.1499999999999999</v>
      </c>
      <c r="G194" s="31">
        <v>1.1000000000000001</v>
      </c>
      <c r="H194" s="31">
        <v>1.35</v>
      </c>
      <c r="I194" s="31">
        <v>1.3</v>
      </c>
      <c r="J194" s="31">
        <v>1.0777000000000001</v>
      </c>
      <c r="K194" s="30">
        <f t="shared" si="0"/>
        <v>61536.426419593125</v>
      </c>
      <c r="L194" s="30">
        <f t="shared" si="38"/>
        <v>1545748.6136661163</v>
      </c>
    </row>
    <row r="195" spans="1:12" ht="30" customHeight="1" x14ac:dyDescent="0.2">
      <c r="A195" s="27" t="s">
        <v>1101</v>
      </c>
      <c r="B195" s="27"/>
      <c r="C195" s="27" t="s">
        <v>1116</v>
      </c>
      <c r="D195" s="31">
        <f t="shared" si="37"/>
        <v>9.8394999999999975</v>
      </c>
      <c r="E195" s="30">
        <v>22365</v>
      </c>
      <c r="F195" s="31">
        <v>1.1499999999999999</v>
      </c>
      <c r="G195" s="31">
        <v>1.1000000000000001</v>
      </c>
      <c r="H195" s="31">
        <v>1.35</v>
      </c>
      <c r="I195" s="31">
        <v>1.3</v>
      </c>
      <c r="J195" s="31">
        <v>1.0777000000000001</v>
      </c>
      <c r="K195" s="30">
        <f t="shared" si="0"/>
        <v>53509.936017037508</v>
      </c>
      <c r="L195" s="30">
        <f t="shared" si="38"/>
        <v>1599258.5496831539</v>
      </c>
    </row>
    <row r="196" spans="1:12" ht="30" customHeight="1" x14ac:dyDescent="0.2">
      <c r="A196" s="27" t="s">
        <v>1101</v>
      </c>
      <c r="B196" s="27"/>
      <c r="C196" s="27" t="s">
        <v>1117</v>
      </c>
      <c r="D196" s="31">
        <f t="shared" si="37"/>
        <v>10.380999999999997</v>
      </c>
      <c r="E196" s="30">
        <f>27050*1.1</f>
        <v>29755.000000000004</v>
      </c>
      <c r="F196" s="31"/>
      <c r="G196" s="31">
        <v>1.1000000000000001</v>
      </c>
      <c r="H196" s="31">
        <v>1.35</v>
      </c>
      <c r="I196" s="31">
        <v>1.3</v>
      </c>
      <c r="J196" s="66"/>
      <c r="K196" s="30">
        <f t="shared" si="0"/>
        <v>57442.027500000018</v>
      </c>
      <c r="L196" s="30">
        <f t="shared" si="38"/>
        <v>1656700.5771831539</v>
      </c>
    </row>
    <row r="197" spans="1:12" ht="30" customHeight="1" x14ac:dyDescent="0.2">
      <c r="A197" s="27" t="s">
        <v>1101</v>
      </c>
      <c r="B197" s="27"/>
      <c r="C197" s="27" t="s">
        <v>1118</v>
      </c>
      <c r="D197" s="31">
        <f t="shared" si="37"/>
        <v>10.922499999999996</v>
      </c>
      <c r="E197" s="30">
        <f>22365*1.15</f>
        <v>25719.749999999996</v>
      </c>
      <c r="F197" s="31">
        <v>1.1499999999999999</v>
      </c>
      <c r="G197" s="31">
        <v>1.1000000000000001</v>
      </c>
      <c r="H197" s="31">
        <v>1.35</v>
      </c>
      <c r="I197" s="31">
        <v>1.3</v>
      </c>
      <c r="J197" s="31">
        <v>1.0777000000000001</v>
      </c>
      <c r="K197" s="30">
        <f t="shared" si="0"/>
        <v>61536.426419593125</v>
      </c>
      <c r="L197" s="30">
        <f t="shared" si="38"/>
        <v>1718237.0036027471</v>
      </c>
    </row>
    <row r="198" spans="1:12" ht="30" customHeight="1" x14ac:dyDescent="0.2">
      <c r="A198" s="27" t="s">
        <v>1101</v>
      </c>
      <c r="B198" s="27"/>
      <c r="C198" s="27" t="s">
        <v>1119</v>
      </c>
      <c r="D198" s="31">
        <f t="shared" si="37"/>
        <v>11.463999999999995</v>
      </c>
      <c r="E198" s="30">
        <v>22365</v>
      </c>
      <c r="F198" s="31">
        <v>1.1499999999999999</v>
      </c>
      <c r="G198" s="31">
        <v>1.1000000000000001</v>
      </c>
      <c r="H198" s="31">
        <v>1.35</v>
      </c>
      <c r="I198" s="31">
        <v>1.3</v>
      </c>
      <c r="J198" s="31">
        <v>1.0777000000000001</v>
      </c>
      <c r="K198" s="30">
        <f t="shared" si="0"/>
        <v>53509.936017037508</v>
      </c>
      <c r="L198" s="30">
        <f t="shared" si="38"/>
        <v>1771746.9396197847</v>
      </c>
    </row>
    <row r="199" spans="1:12" ht="30" customHeight="1" x14ac:dyDescent="0.2">
      <c r="A199" s="27" t="s">
        <v>1101</v>
      </c>
      <c r="B199" s="27"/>
      <c r="C199" s="27" t="s">
        <v>1120</v>
      </c>
      <c r="D199" s="31">
        <f t="shared" si="37"/>
        <v>12.005499999999994</v>
      </c>
      <c r="E199" s="30">
        <f>27050*1.1</f>
        <v>29755.000000000004</v>
      </c>
      <c r="F199" s="31"/>
      <c r="G199" s="31">
        <v>1.1000000000000001</v>
      </c>
      <c r="H199" s="31">
        <v>1.35</v>
      </c>
      <c r="I199" s="31">
        <v>1.3</v>
      </c>
      <c r="J199" s="31"/>
      <c r="K199" s="30">
        <f t="shared" si="0"/>
        <v>57442.027500000018</v>
      </c>
      <c r="L199" s="30">
        <f t="shared" si="38"/>
        <v>1829188.9671197848</v>
      </c>
    </row>
    <row r="200" spans="1:12" ht="30" customHeight="1" x14ac:dyDescent="0.2">
      <c r="A200" s="27" t="s">
        <v>1101</v>
      </c>
      <c r="B200" s="27"/>
      <c r="C200" s="27" t="s">
        <v>1121</v>
      </c>
      <c r="D200" s="31">
        <f t="shared" si="37"/>
        <v>12.546999999999993</v>
      </c>
      <c r="E200" s="30">
        <f>22365*1.15</f>
        <v>25719.749999999996</v>
      </c>
      <c r="F200" s="31">
        <v>1.1499999999999999</v>
      </c>
      <c r="G200" s="31">
        <v>1.1000000000000001</v>
      </c>
      <c r="H200" s="31">
        <v>1.35</v>
      </c>
      <c r="I200" s="31">
        <v>1.3</v>
      </c>
      <c r="J200" s="31">
        <v>1.0777000000000001</v>
      </c>
      <c r="K200" s="30">
        <f t="shared" si="0"/>
        <v>61536.426419593125</v>
      </c>
      <c r="L200" s="30">
        <f t="shared" si="38"/>
        <v>1890725.393539378</v>
      </c>
    </row>
    <row r="201" spans="1:12" ht="30" customHeight="1" x14ac:dyDescent="0.2">
      <c r="A201" s="27" t="s">
        <v>1101</v>
      </c>
      <c r="B201" s="27"/>
      <c r="C201" s="27" t="s">
        <v>1122</v>
      </c>
      <c r="D201" s="31">
        <f t="shared" si="37"/>
        <v>13.088499999999993</v>
      </c>
      <c r="E201" s="30">
        <v>22365</v>
      </c>
      <c r="F201" s="31">
        <v>1.1499999999999999</v>
      </c>
      <c r="G201" s="31">
        <v>1.1000000000000001</v>
      </c>
      <c r="H201" s="31">
        <v>1.35</v>
      </c>
      <c r="I201" s="31">
        <v>1.3</v>
      </c>
      <c r="J201" s="31">
        <v>1.0777000000000001</v>
      </c>
      <c r="K201" s="30">
        <f t="shared" si="0"/>
        <v>53509.936017037508</v>
      </c>
      <c r="L201" s="30">
        <f t="shared" si="38"/>
        <v>1944235.3295564156</v>
      </c>
    </row>
    <row r="202" spans="1:12" ht="30" customHeight="1" x14ac:dyDescent="0.2">
      <c r="A202" s="27" t="s">
        <v>1101</v>
      </c>
      <c r="B202" s="27"/>
      <c r="C202" s="27" t="s">
        <v>1123</v>
      </c>
      <c r="D202" s="31">
        <f>D201+1.4</f>
        <v>14.488499999999993</v>
      </c>
      <c r="E202" s="30">
        <f>27050*1.1</f>
        <v>29755.000000000004</v>
      </c>
      <c r="F202" s="31"/>
      <c r="G202" s="31">
        <v>1.1000000000000001</v>
      </c>
      <c r="H202" s="31">
        <v>1.35</v>
      </c>
      <c r="I202" s="31">
        <v>1.3</v>
      </c>
      <c r="J202" s="31"/>
      <c r="K202" s="30">
        <f t="shared" si="0"/>
        <v>57442.027500000018</v>
      </c>
      <c r="L202" s="30">
        <f t="shared" si="38"/>
        <v>2001677.3570564156</v>
      </c>
    </row>
    <row r="203" spans="1:12" ht="30" customHeight="1" x14ac:dyDescent="0.2">
      <c r="A203" s="27" t="s">
        <v>1101</v>
      </c>
      <c r="B203" s="27"/>
      <c r="C203" s="27" t="s">
        <v>1124</v>
      </c>
      <c r="D203" s="31">
        <f t="shared" ref="D203:D222" si="39">D202+0.467</f>
        <v>14.955499999999994</v>
      </c>
      <c r="E203" s="30">
        <f>22365*1.15</f>
        <v>25719.749999999996</v>
      </c>
      <c r="F203" s="31">
        <v>1.1499999999999999</v>
      </c>
      <c r="G203" s="31">
        <v>1.1000000000000001</v>
      </c>
      <c r="H203" s="31">
        <v>1.35</v>
      </c>
      <c r="I203" s="31">
        <v>1.3</v>
      </c>
      <c r="J203" s="31">
        <v>1.0777000000000001</v>
      </c>
      <c r="K203" s="30">
        <f t="shared" si="0"/>
        <v>61536.426419593125</v>
      </c>
      <c r="L203" s="30">
        <f t="shared" si="38"/>
        <v>2063213.7834760088</v>
      </c>
    </row>
    <row r="204" spans="1:12" ht="30" customHeight="1" x14ac:dyDescent="0.2">
      <c r="A204" s="27" t="s">
        <v>1101</v>
      </c>
      <c r="B204" s="27"/>
      <c r="C204" s="27" t="s">
        <v>1125</v>
      </c>
      <c r="D204" s="31">
        <f t="shared" si="39"/>
        <v>15.422499999999994</v>
      </c>
      <c r="E204" s="30">
        <v>22365</v>
      </c>
      <c r="F204" s="31">
        <v>1.1499999999999999</v>
      </c>
      <c r="G204" s="31">
        <v>1.1000000000000001</v>
      </c>
      <c r="H204" s="31">
        <v>1.35</v>
      </c>
      <c r="I204" s="31">
        <v>1.3</v>
      </c>
      <c r="J204" s="31">
        <v>1.0777000000000001</v>
      </c>
      <c r="K204" s="30">
        <f t="shared" si="0"/>
        <v>53509.936017037508</v>
      </c>
      <c r="L204" s="30">
        <f t="shared" si="38"/>
        <v>2116723.7194930464</v>
      </c>
    </row>
    <row r="205" spans="1:12" ht="30" customHeight="1" x14ac:dyDescent="0.2">
      <c r="A205" s="27" t="s">
        <v>1101</v>
      </c>
      <c r="B205" s="27"/>
      <c r="C205" s="27" t="s">
        <v>1126</v>
      </c>
      <c r="D205" s="31">
        <f t="shared" si="39"/>
        <v>15.889499999999995</v>
      </c>
      <c r="E205" s="30">
        <f>27050*1.1</f>
        <v>29755.000000000004</v>
      </c>
      <c r="F205" s="31"/>
      <c r="G205" s="31">
        <v>1.1000000000000001</v>
      </c>
      <c r="H205" s="31">
        <v>1.35</v>
      </c>
      <c r="I205" s="31">
        <v>1.3</v>
      </c>
      <c r="J205" s="31"/>
      <c r="K205" s="30">
        <f t="shared" si="0"/>
        <v>57442.027500000018</v>
      </c>
      <c r="L205" s="30">
        <f t="shared" si="38"/>
        <v>2174165.7469930463</v>
      </c>
    </row>
    <row r="206" spans="1:12" ht="30" customHeight="1" x14ac:dyDescent="0.2">
      <c r="A206" s="27" t="s">
        <v>1101</v>
      </c>
      <c r="B206" s="27"/>
      <c r="C206" s="27" t="s">
        <v>1127</v>
      </c>
      <c r="D206" s="31">
        <f t="shared" si="39"/>
        <v>16.356499999999993</v>
      </c>
      <c r="E206" s="30">
        <f>22365*1.15</f>
        <v>25719.749999999996</v>
      </c>
      <c r="F206" s="31">
        <v>1.1499999999999999</v>
      </c>
      <c r="G206" s="31">
        <v>1.1000000000000001</v>
      </c>
      <c r="H206" s="31">
        <v>1.35</v>
      </c>
      <c r="I206" s="31">
        <v>1.3</v>
      </c>
      <c r="J206" s="31">
        <v>1.0777000000000001</v>
      </c>
      <c r="K206" s="30">
        <f t="shared" si="0"/>
        <v>61536.426419593125</v>
      </c>
      <c r="L206" s="30">
        <f t="shared" si="38"/>
        <v>2235702.1734126392</v>
      </c>
    </row>
    <row r="207" spans="1:12" ht="30" customHeight="1" x14ac:dyDescent="0.2">
      <c r="A207" s="27" t="s">
        <v>1101</v>
      </c>
      <c r="B207" s="27"/>
      <c r="C207" s="27" t="s">
        <v>1128</v>
      </c>
      <c r="D207" s="31">
        <f t="shared" si="39"/>
        <v>16.823499999999992</v>
      </c>
      <c r="E207" s="30">
        <v>22365</v>
      </c>
      <c r="F207" s="31">
        <v>1.1499999999999999</v>
      </c>
      <c r="G207" s="31">
        <v>1.1000000000000001</v>
      </c>
      <c r="H207" s="31">
        <v>1.35</v>
      </c>
      <c r="I207" s="31">
        <v>1.3</v>
      </c>
      <c r="J207" s="31">
        <v>1.0777000000000001</v>
      </c>
      <c r="K207" s="30">
        <f t="shared" si="0"/>
        <v>53509.936017037508</v>
      </c>
      <c r="L207" s="30">
        <f t="shared" si="38"/>
        <v>2289212.1094296766</v>
      </c>
    </row>
    <row r="208" spans="1:12" ht="30" customHeight="1" x14ac:dyDescent="0.2">
      <c r="A208" s="27" t="s">
        <v>1101</v>
      </c>
      <c r="B208" s="27"/>
      <c r="C208" s="27" t="s">
        <v>1129</v>
      </c>
      <c r="D208" s="31">
        <f t="shared" si="39"/>
        <v>17.290499999999991</v>
      </c>
      <c r="E208" s="30">
        <f>27050*1.1</f>
        <v>29755.000000000004</v>
      </c>
      <c r="F208" s="31"/>
      <c r="G208" s="31">
        <v>1.1000000000000001</v>
      </c>
      <c r="H208" s="31">
        <v>1.35</v>
      </c>
      <c r="I208" s="31">
        <v>1.3</v>
      </c>
      <c r="J208" s="31"/>
      <c r="K208" s="30">
        <f t="shared" si="0"/>
        <v>57442.027500000018</v>
      </c>
      <c r="L208" s="30">
        <f t="shared" si="38"/>
        <v>2346654.1369296764</v>
      </c>
    </row>
    <row r="209" spans="1:12" ht="30" customHeight="1" x14ac:dyDescent="0.2">
      <c r="A209" s="27" t="s">
        <v>1101</v>
      </c>
      <c r="B209" s="27"/>
      <c r="C209" s="27" t="s">
        <v>1130</v>
      </c>
      <c r="D209" s="31">
        <f t="shared" si="39"/>
        <v>17.75749999999999</v>
      </c>
      <c r="E209" s="30">
        <f>22365*1.15</f>
        <v>25719.749999999996</v>
      </c>
      <c r="F209" s="31">
        <v>1.1499999999999999</v>
      </c>
      <c r="G209" s="31">
        <v>1.1000000000000001</v>
      </c>
      <c r="H209" s="31">
        <v>1.35</v>
      </c>
      <c r="I209" s="31">
        <v>1.3</v>
      </c>
      <c r="J209" s="31">
        <v>1.0777000000000001</v>
      </c>
      <c r="K209" s="30">
        <f t="shared" si="0"/>
        <v>61536.426419593125</v>
      </c>
      <c r="L209" s="30">
        <f t="shared" si="38"/>
        <v>2408190.5633492693</v>
      </c>
    </row>
    <row r="210" spans="1:12" ht="30" customHeight="1" x14ac:dyDescent="0.2">
      <c r="A210" s="27" t="s">
        <v>1101</v>
      </c>
      <c r="B210" s="27"/>
      <c r="C210" s="27" t="s">
        <v>1131</v>
      </c>
      <c r="D210" s="31">
        <f t="shared" si="39"/>
        <v>18.224499999999988</v>
      </c>
      <c r="E210" s="30">
        <v>22365</v>
      </c>
      <c r="F210" s="31">
        <v>1.1499999999999999</v>
      </c>
      <c r="G210" s="31">
        <v>1.1000000000000001</v>
      </c>
      <c r="H210" s="31">
        <v>1.35</v>
      </c>
      <c r="I210" s="31">
        <v>1.3</v>
      </c>
      <c r="J210" s="31">
        <v>1.0777000000000001</v>
      </c>
      <c r="K210" s="30">
        <f t="shared" si="0"/>
        <v>53509.936017037508</v>
      </c>
      <c r="L210" s="30">
        <f t="shared" si="38"/>
        <v>2461700.4993663067</v>
      </c>
    </row>
    <row r="211" spans="1:12" ht="30" customHeight="1" x14ac:dyDescent="0.2">
      <c r="A211" s="27" t="s">
        <v>1101</v>
      </c>
      <c r="B211" s="27"/>
      <c r="C211" s="27" t="s">
        <v>1132</v>
      </c>
      <c r="D211" s="31">
        <f t="shared" si="39"/>
        <v>18.691499999999987</v>
      </c>
      <c r="E211" s="30">
        <f>27050*1.1</f>
        <v>29755.000000000004</v>
      </c>
      <c r="F211" s="31"/>
      <c r="G211" s="31">
        <v>1.1000000000000001</v>
      </c>
      <c r="H211" s="31">
        <v>1.35</v>
      </c>
      <c r="I211" s="31">
        <v>1.3</v>
      </c>
      <c r="J211" s="31"/>
      <c r="K211" s="30">
        <f t="shared" si="0"/>
        <v>57442.027500000018</v>
      </c>
      <c r="L211" s="30">
        <f t="shared" si="38"/>
        <v>2519142.5268663066</v>
      </c>
    </row>
    <row r="212" spans="1:12" ht="30" customHeight="1" x14ac:dyDescent="0.2">
      <c r="A212" s="27" t="s">
        <v>1101</v>
      </c>
      <c r="B212" s="27"/>
      <c r="C212" s="27" t="s">
        <v>1133</v>
      </c>
      <c r="D212" s="31">
        <f t="shared" si="39"/>
        <v>19.158499999999986</v>
      </c>
      <c r="E212" s="30">
        <f>22365*1.15</f>
        <v>25719.749999999996</v>
      </c>
      <c r="F212" s="31">
        <v>1.1499999999999999</v>
      </c>
      <c r="G212" s="31">
        <v>1.1000000000000001</v>
      </c>
      <c r="H212" s="31">
        <v>1.35</v>
      </c>
      <c r="I212" s="31">
        <v>1.3</v>
      </c>
      <c r="J212" s="31">
        <v>1.0777000000000001</v>
      </c>
      <c r="K212" s="30">
        <f t="shared" si="0"/>
        <v>61536.426419593125</v>
      </c>
      <c r="L212" s="30">
        <f t="shared" si="38"/>
        <v>2580678.9532858995</v>
      </c>
    </row>
    <row r="213" spans="1:12" ht="30" customHeight="1" x14ac:dyDescent="0.2">
      <c r="A213" s="27" t="s">
        <v>1101</v>
      </c>
      <c r="B213" s="27"/>
      <c r="C213" s="27" t="s">
        <v>1134</v>
      </c>
      <c r="D213" s="31">
        <f t="shared" si="39"/>
        <v>19.625499999999985</v>
      </c>
      <c r="E213" s="30">
        <v>22365</v>
      </c>
      <c r="F213" s="31">
        <v>1.1499999999999999</v>
      </c>
      <c r="G213" s="31">
        <v>1.1000000000000001</v>
      </c>
      <c r="H213" s="31">
        <v>1.35</v>
      </c>
      <c r="I213" s="31">
        <v>1.3</v>
      </c>
      <c r="J213" s="31">
        <v>1.0777000000000001</v>
      </c>
      <c r="K213" s="30">
        <f t="shared" si="0"/>
        <v>53509.936017037508</v>
      </c>
      <c r="L213" s="30">
        <f t="shared" si="38"/>
        <v>2634188.8893029368</v>
      </c>
    </row>
    <row r="214" spans="1:12" ht="30" customHeight="1" x14ac:dyDescent="0.2">
      <c r="A214" s="27" t="s">
        <v>1101</v>
      </c>
      <c r="B214" s="27"/>
      <c r="C214" s="27" t="s">
        <v>1135</v>
      </c>
      <c r="D214" s="31">
        <f t="shared" si="39"/>
        <v>20.092499999999983</v>
      </c>
      <c r="E214" s="30">
        <f>27050*1.1</f>
        <v>29755.000000000004</v>
      </c>
      <c r="F214" s="31"/>
      <c r="G214" s="31">
        <v>1.1000000000000001</v>
      </c>
      <c r="H214" s="31">
        <v>1.35</v>
      </c>
      <c r="I214" s="31">
        <v>1.3</v>
      </c>
      <c r="J214" s="31"/>
      <c r="K214" s="30">
        <f t="shared" si="0"/>
        <v>57442.027500000018</v>
      </c>
      <c r="L214" s="30">
        <f t="shared" si="38"/>
        <v>2691630.9168029367</v>
      </c>
    </row>
    <row r="215" spans="1:12" ht="30" customHeight="1" x14ac:dyDescent="0.2">
      <c r="A215" s="27" t="s">
        <v>1101</v>
      </c>
      <c r="B215" s="27"/>
      <c r="C215" s="27" t="s">
        <v>1136</v>
      </c>
      <c r="D215" s="31">
        <f t="shared" si="39"/>
        <v>20.559499999999982</v>
      </c>
      <c r="E215" s="30">
        <f>22365*1.15</f>
        <v>25719.749999999996</v>
      </c>
      <c r="F215" s="31">
        <v>1.1499999999999999</v>
      </c>
      <c r="G215" s="31">
        <v>1.1000000000000001</v>
      </c>
      <c r="H215" s="31">
        <v>1.35</v>
      </c>
      <c r="I215" s="31">
        <v>1.3</v>
      </c>
      <c r="J215" s="31">
        <v>1.0777000000000001</v>
      </c>
      <c r="K215" s="30">
        <f t="shared" si="0"/>
        <v>61536.426419593125</v>
      </c>
      <c r="L215" s="30">
        <f t="shared" si="38"/>
        <v>2753167.3432225296</v>
      </c>
    </row>
    <row r="216" spans="1:12" ht="30" customHeight="1" x14ac:dyDescent="0.2">
      <c r="A216" s="27" t="s">
        <v>1101</v>
      </c>
      <c r="B216" s="27"/>
      <c r="C216" s="27" t="s">
        <v>1137</v>
      </c>
      <c r="D216" s="31">
        <f t="shared" si="39"/>
        <v>21.026499999999981</v>
      </c>
      <c r="E216" s="30">
        <v>22365</v>
      </c>
      <c r="F216" s="31">
        <v>1.1499999999999999</v>
      </c>
      <c r="G216" s="31">
        <v>1.1000000000000001</v>
      </c>
      <c r="H216" s="31">
        <v>1.35</v>
      </c>
      <c r="I216" s="31">
        <v>1.3</v>
      </c>
      <c r="J216" s="31">
        <v>1.0777000000000001</v>
      </c>
      <c r="K216" s="30">
        <f t="shared" si="0"/>
        <v>53509.936017037508</v>
      </c>
      <c r="L216" s="30">
        <f t="shared" si="38"/>
        <v>2806677.279239567</v>
      </c>
    </row>
    <row r="217" spans="1:12" ht="30" customHeight="1" x14ac:dyDescent="0.2">
      <c r="A217" s="27" t="s">
        <v>1101</v>
      </c>
      <c r="B217" s="27"/>
      <c r="C217" s="27" t="s">
        <v>1138</v>
      </c>
      <c r="D217" s="31">
        <f t="shared" si="39"/>
        <v>21.49349999999998</v>
      </c>
      <c r="E217" s="30">
        <f>27050*1.1</f>
        <v>29755.000000000004</v>
      </c>
      <c r="F217" s="31"/>
      <c r="G217" s="31">
        <v>1.1000000000000001</v>
      </c>
      <c r="H217" s="31">
        <v>1.35</v>
      </c>
      <c r="I217" s="31">
        <v>1.3</v>
      </c>
      <c r="J217" s="31"/>
      <c r="K217" s="30">
        <f t="shared" si="0"/>
        <v>57442.027500000018</v>
      </c>
      <c r="L217" s="30">
        <f t="shared" si="38"/>
        <v>2864119.3067395668</v>
      </c>
    </row>
    <row r="218" spans="1:12" ht="30" customHeight="1" x14ac:dyDescent="0.2">
      <c r="A218" s="27" t="s">
        <v>1101</v>
      </c>
      <c r="B218" s="27"/>
      <c r="C218" s="27" t="s">
        <v>1139</v>
      </c>
      <c r="D218" s="31">
        <f t="shared" si="39"/>
        <v>21.960499999999978</v>
      </c>
      <c r="E218" s="30">
        <f>22365*1.15</f>
        <v>25719.749999999996</v>
      </c>
      <c r="F218" s="31">
        <v>1.1499999999999999</v>
      </c>
      <c r="G218" s="31">
        <v>1.1000000000000001</v>
      </c>
      <c r="H218" s="31">
        <v>1.35</v>
      </c>
      <c r="I218" s="31">
        <v>1.3</v>
      </c>
      <c r="J218" s="31">
        <v>1.0777000000000001</v>
      </c>
      <c r="K218" s="30">
        <f t="shared" si="0"/>
        <v>61536.426419593125</v>
      </c>
      <c r="L218" s="30">
        <f t="shared" si="38"/>
        <v>2925655.7331591598</v>
      </c>
    </row>
    <row r="219" spans="1:12" ht="30" customHeight="1" x14ac:dyDescent="0.2">
      <c r="A219" s="27" t="s">
        <v>1101</v>
      </c>
      <c r="B219" s="27"/>
      <c r="C219" s="27" t="s">
        <v>1140</v>
      </c>
      <c r="D219" s="31">
        <f t="shared" si="39"/>
        <v>22.427499999999977</v>
      </c>
      <c r="E219" s="30">
        <v>22365</v>
      </c>
      <c r="F219" s="31">
        <v>1.1499999999999999</v>
      </c>
      <c r="G219" s="31">
        <v>1.1000000000000001</v>
      </c>
      <c r="H219" s="31">
        <v>1.35</v>
      </c>
      <c r="I219" s="31">
        <v>1.3</v>
      </c>
      <c r="J219" s="31">
        <v>1.0777000000000001</v>
      </c>
      <c r="K219" s="30">
        <f t="shared" si="0"/>
        <v>53509.936017037508</v>
      </c>
      <c r="L219" s="30">
        <f t="shared" si="38"/>
        <v>2979165.6691761971</v>
      </c>
    </row>
    <row r="220" spans="1:12" ht="30" customHeight="1" x14ac:dyDescent="0.2">
      <c r="A220" s="27" t="s">
        <v>1101</v>
      </c>
      <c r="B220" s="27"/>
      <c r="C220" s="27" t="s">
        <v>1141</v>
      </c>
      <c r="D220" s="31">
        <f t="shared" si="39"/>
        <v>22.894499999999976</v>
      </c>
      <c r="E220" s="30">
        <f>27050*1.1</f>
        <v>29755.000000000004</v>
      </c>
      <c r="F220" s="31"/>
      <c r="G220" s="31">
        <v>1.1000000000000001</v>
      </c>
      <c r="H220" s="31">
        <v>1.35</v>
      </c>
      <c r="I220" s="31">
        <v>1.3</v>
      </c>
      <c r="J220" s="31"/>
      <c r="K220" s="30">
        <f t="shared" si="0"/>
        <v>57442.027500000018</v>
      </c>
      <c r="L220" s="30">
        <f t="shared" si="38"/>
        <v>3036607.696676197</v>
      </c>
    </row>
    <row r="221" spans="1:12" ht="30" customHeight="1" x14ac:dyDescent="0.2">
      <c r="A221" s="27" t="s">
        <v>1101</v>
      </c>
      <c r="B221" s="27"/>
      <c r="C221" s="27" t="s">
        <v>1142</v>
      </c>
      <c r="D221" s="31">
        <f t="shared" si="39"/>
        <v>23.361499999999975</v>
      </c>
      <c r="E221" s="30">
        <f>22365*1.15</f>
        <v>25719.749999999996</v>
      </c>
      <c r="F221" s="31">
        <v>1.1499999999999999</v>
      </c>
      <c r="G221" s="31">
        <v>1.1000000000000001</v>
      </c>
      <c r="H221" s="31">
        <v>1.35</v>
      </c>
      <c r="I221" s="31">
        <v>1.3</v>
      </c>
      <c r="J221" s="31">
        <v>1.0777000000000001</v>
      </c>
      <c r="K221" s="30">
        <f t="shared" si="0"/>
        <v>61536.426419593125</v>
      </c>
      <c r="L221" s="30">
        <f t="shared" si="38"/>
        <v>3098144.1230957899</v>
      </c>
    </row>
    <row r="222" spans="1:12" ht="30" customHeight="1" x14ac:dyDescent="0.2">
      <c r="A222" s="27" t="s">
        <v>1101</v>
      </c>
      <c r="B222" s="27"/>
      <c r="C222" s="27" t="s">
        <v>1143</v>
      </c>
      <c r="D222" s="31">
        <f t="shared" si="39"/>
        <v>23.828499999999973</v>
      </c>
      <c r="E222" s="30">
        <v>22365</v>
      </c>
      <c r="F222" s="31">
        <v>1.1499999999999999</v>
      </c>
      <c r="G222" s="31">
        <v>1.1000000000000001</v>
      </c>
      <c r="H222" s="31">
        <v>1.35</v>
      </c>
      <c r="I222" s="31">
        <v>1.3</v>
      </c>
      <c r="J222" s="31">
        <v>1.0777000000000001</v>
      </c>
      <c r="K222" s="30">
        <f t="shared" si="0"/>
        <v>53509.936017037508</v>
      </c>
      <c r="L222" s="65">
        <f t="shared" si="38"/>
        <v>3151654.0591128273</v>
      </c>
    </row>
    <row r="223" spans="1:12" ht="30" customHeight="1" x14ac:dyDescent="0.2">
      <c r="A223" s="27" t="s">
        <v>1144</v>
      </c>
      <c r="B223" s="27"/>
      <c r="C223" s="27" t="s">
        <v>1102</v>
      </c>
      <c r="D223" s="31">
        <v>0</v>
      </c>
      <c r="E223" s="30">
        <f>27050*1.1</f>
        <v>29755.000000000004</v>
      </c>
      <c r="F223" s="31"/>
      <c r="G223" s="31">
        <v>1.1000000000000001</v>
      </c>
      <c r="H223" s="31">
        <v>1.35</v>
      </c>
      <c r="I223" s="31">
        <v>1.3</v>
      </c>
      <c r="J223" s="31"/>
      <c r="K223" s="30">
        <f t="shared" si="0"/>
        <v>57442.027500000018</v>
      </c>
      <c r="L223" s="30">
        <f>K223</f>
        <v>57442.027500000018</v>
      </c>
    </row>
    <row r="224" spans="1:12" ht="30" customHeight="1" x14ac:dyDescent="0.2">
      <c r="A224" s="27" t="s">
        <v>1144</v>
      </c>
      <c r="B224" s="27"/>
      <c r="C224" s="27" t="s">
        <v>1104</v>
      </c>
      <c r="D224" s="31">
        <f t="shared" ref="D224:D243" si="40">D223+0.5415</f>
        <v>0.54149999999999998</v>
      </c>
      <c r="E224" s="30">
        <v>22365</v>
      </c>
      <c r="F224" s="31">
        <v>1.1499999999999999</v>
      </c>
      <c r="G224" s="31">
        <v>1.1000000000000001</v>
      </c>
      <c r="H224" s="31">
        <v>1.35</v>
      </c>
      <c r="I224" s="31">
        <v>1.3</v>
      </c>
      <c r="J224" s="31">
        <v>1.0777000000000001</v>
      </c>
      <c r="K224" s="30">
        <f t="shared" si="0"/>
        <v>53509.936017037508</v>
      </c>
      <c r="L224" s="30">
        <f t="shared" ref="L224:L276" si="41">L223+K224</f>
        <v>110951.96351703753</v>
      </c>
    </row>
    <row r="225" spans="1:12" ht="30" customHeight="1" x14ac:dyDescent="0.2">
      <c r="A225" s="27" t="s">
        <v>1144</v>
      </c>
      <c r="B225" s="27"/>
      <c r="C225" s="27" t="s">
        <v>1103</v>
      </c>
      <c r="D225" s="31">
        <f t="shared" si="40"/>
        <v>1.083</v>
      </c>
      <c r="E225" s="30">
        <f>22365*1.15</f>
        <v>25719.749999999996</v>
      </c>
      <c r="F225" s="31">
        <v>1.1499999999999999</v>
      </c>
      <c r="G225" s="31">
        <v>1.1000000000000001</v>
      </c>
      <c r="H225" s="31">
        <v>1.35</v>
      </c>
      <c r="I225" s="31">
        <v>1.3</v>
      </c>
      <c r="J225" s="31">
        <v>1.0777000000000001</v>
      </c>
      <c r="K225" s="30">
        <f t="shared" si="0"/>
        <v>61536.426419593125</v>
      </c>
      <c r="L225" s="30">
        <f t="shared" si="41"/>
        <v>172488.38993663064</v>
      </c>
    </row>
    <row r="226" spans="1:12" ht="30" customHeight="1" x14ac:dyDescent="0.2">
      <c r="A226" s="27" t="s">
        <v>1144</v>
      </c>
      <c r="B226" s="27"/>
      <c r="C226" s="27" t="s">
        <v>1105</v>
      </c>
      <c r="D226" s="31">
        <f t="shared" si="40"/>
        <v>1.6244999999999998</v>
      </c>
      <c r="E226" s="30">
        <f>27050*1.1</f>
        <v>29755.000000000004</v>
      </c>
      <c r="F226" s="31"/>
      <c r="G226" s="31">
        <v>1.1000000000000001</v>
      </c>
      <c r="H226" s="31">
        <v>1.35</v>
      </c>
      <c r="I226" s="31">
        <v>1.3</v>
      </c>
      <c r="J226" s="31"/>
      <c r="K226" s="30">
        <f t="shared" si="0"/>
        <v>57442.027500000018</v>
      </c>
      <c r="L226" s="30">
        <f t="shared" si="41"/>
        <v>229930.41743663067</v>
      </c>
    </row>
    <row r="227" spans="1:12" ht="30" customHeight="1" x14ac:dyDescent="0.2">
      <c r="A227" s="27" t="s">
        <v>1144</v>
      </c>
      <c r="B227" s="27"/>
      <c r="C227" s="27" t="s">
        <v>1107</v>
      </c>
      <c r="D227" s="31">
        <f t="shared" si="40"/>
        <v>2.1659999999999999</v>
      </c>
      <c r="E227" s="30">
        <v>22365</v>
      </c>
      <c r="F227" s="31">
        <v>1.1499999999999999</v>
      </c>
      <c r="G227" s="31">
        <v>1.1000000000000001</v>
      </c>
      <c r="H227" s="31">
        <v>1.35</v>
      </c>
      <c r="I227" s="31">
        <v>1.3</v>
      </c>
      <c r="J227" s="31">
        <v>1.0777000000000001</v>
      </c>
      <c r="K227" s="30">
        <f t="shared" si="0"/>
        <v>53509.936017037508</v>
      </c>
      <c r="L227" s="30">
        <f t="shared" si="41"/>
        <v>283440.35345366818</v>
      </c>
    </row>
    <row r="228" spans="1:12" ht="30" customHeight="1" x14ac:dyDescent="0.2">
      <c r="A228" s="27" t="s">
        <v>1144</v>
      </c>
      <c r="B228" s="27"/>
      <c r="C228" s="27" t="s">
        <v>1106</v>
      </c>
      <c r="D228" s="31">
        <f t="shared" si="40"/>
        <v>2.7075</v>
      </c>
      <c r="E228" s="30">
        <f>22365*1.15</f>
        <v>25719.749999999996</v>
      </c>
      <c r="F228" s="31">
        <v>1.1499999999999999</v>
      </c>
      <c r="G228" s="31">
        <v>1.1000000000000001</v>
      </c>
      <c r="H228" s="31">
        <v>1.35</v>
      </c>
      <c r="I228" s="31">
        <v>1.3</v>
      </c>
      <c r="J228" s="31">
        <v>1.0777000000000001</v>
      </c>
      <c r="K228" s="30">
        <f t="shared" si="0"/>
        <v>61536.426419593125</v>
      </c>
      <c r="L228" s="30">
        <f t="shared" si="41"/>
        <v>344976.77987326129</v>
      </c>
    </row>
    <row r="229" spans="1:12" ht="30" customHeight="1" x14ac:dyDescent="0.2">
      <c r="A229" s="27" t="s">
        <v>1144</v>
      </c>
      <c r="B229" s="27"/>
      <c r="C229" s="27" t="s">
        <v>1108</v>
      </c>
      <c r="D229" s="31">
        <f t="shared" si="40"/>
        <v>3.2490000000000001</v>
      </c>
      <c r="E229" s="30">
        <f>27050*1.1</f>
        <v>29755.000000000004</v>
      </c>
      <c r="F229" s="31"/>
      <c r="G229" s="31">
        <v>1.1000000000000001</v>
      </c>
      <c r="H229" s="31">
        <v>1.35</v>
      </c>
      <c r="I229" s="31">
        <v>1.3</v>
      </c>
      <c r="J229" s="31"/>
      <c r="K229" s="30">
        <f t="shared" si="0"/>
        <v>57442.027500000018</v>
      </c>
      <c r="L229" s="30">
        <f t="shared" si="41"/>
        <v>402418.80737326131</v>
      </c>
    </row>
    <row r="230" spans="1:12" ht="30" customHeight="1" x14ac:dyDescent="0.2">
      <c r="A230" s="27" t="s">
        <v>1144</v>
      </c>
      <c r="B230" s="27"/>
      <c r="C230" s="27" t="s">
        <v>1110</v>
      </c>
      <c r="D230" s="31">
        <f t="shared" si="40"/>
        <v>3.7905000000000002</v>
      </c>
      <c r="E230" s="30">
        <v>22365</v>
      </c>
      <c r="F230" s="31">
        <v>1.1499999999999999</v>
      </c>
      <c r="G230" s="31">
        <v>1.1000000000000001</v>
      </c>
      <c r="H230" s="31">
        <v>1.35</v>
      </c>
      <c r="I230" s="31">
        <v>1.3</v>
      </c>
      <c r="J230" s="31">
        <v>1.0777000000000001</v>
      </c>
      <c r="K230" s="30">
        <f t="shared" si="0"/>
        <v>53509.936017037508</v>
      </c>
      <c r="L230" s="30">
        <f t="shared" si="41"/>
        <v>455928.7433902988</v>
      </c>
    </row>
    <row r="231" spans="1:12" ht="30" customHeight="1" x14ac:dyDescent="0.2">
      <c r="A231" s="27" t="s">
        <v>1144</v>
      </c>
      <c r="B231" s="27"/>
      <c r="C231" s="27" t="s">
        <v>1109</v>
      </c>
      <c r="D231" s="31">
        <f t="shared" si="40"/>
        <v>4.3319999999999999</v>
      </c>
      <c r="E231" s="30">
        <f>22365*1.15</f>
        <v>25719.749999999996</v>
      </c>
      <c r="F231" s="31">
        <v>1.1499999999999999</v>
      </c>
      <c r="G231" s="31">
        <v>1.1000000000000001</v>
      </c>
      <c r="H231" s="31">
        <v>1.35</v>
      </c>
      <c r="I231" s="31">
        <v>1.3</v>
      </c>
      <c r="J231" s="31">
        <v>1.0777000000000001</v>
      </c>
      <c r="K231" s="30">
        <f t="shared" si="0"/>
        <v>61536.426419593125</v>
      </c>
      <c r="L231" s="30">
        <f t="shared" si="41"/>
        <v>517465.1698098919</v>
      </c>
    </row>
    <row r="232" spans="1:12" ht="30" customHeight="1" x14ac:dyDescent="0.2">
      <c r="A232" s="27" t="s">
        <v>1144</v>
      </c>
      <c r="B232" s="27"/>
      <c r="C232" s="27" t="s">
        <v>1111</v>
      </c>
      <c r="D232" s="31">
        <f t="shared" si="40"/>
        <v>4.8734999999999999</v>
      </c>
      <c r="E232" s="30">
        <f>27050*1.1</f>
        <v>29755.000000000004</v>
      </c>
      <c r="F232" s="31"/>
      <c r="G232" s="31">
        <v>1.1000000000000001</v>
      </c>
      <c r="H232" s="31">
        <v>1.35</v>
      </c>
      <c r="I232" s="31">
        <v>1.3</v>
      </c>
      <c r="J232" s="31"/>
      <c r="K232" s="30">
        <f t="shared" si="0"/>
        <v>57442.027500000018</v>
      </c>
      <c r="L232" s="30">
        <f t="shared" si="41"/>
        <v>574907.19730989193</v>
      </c>
    </row>
    <row r="233" spans="1:12" ht="30" customHeight="1" x14ac:dyDescent="0.2">
      <c r="A233" s="27" t="s">
        <v>1144</v>
      </c>
      <c r="B233" s="27"/>
      <c r="C233" s="27" t="s">
        <v>1113</v>
      </c>
      <c r="D233" s="31">
        <f t="shared" si="40"/>
        <v>5.415</v>
      </c>
      <c r="E233" s="30">
        <v>22365</v>
      </c>
      <c r="F233" s="31">
        <v>1.1499999999999999</v>
      </c>
      <c r="G233" s="31">
        <v>1.1000000000000001</v>
      </c>
      <c r="H233" s="31">
        <v>1.35</v>
      </c>
      <c r="I233" s="31">
        <v>1.3</v>
      </c>
      <c r="J233" s="31">
        <v>1.0777000000000001</v>
      </c>
      <c r="K233" s="30">
        <f t="shared" si="0"/>
        <v>53509.936017037508</v>
      </c>
      <c r="L233" s="30">
        <f t="shared" si="41"/>
        <v>628417.13332692941</v>
      </c>
    </row>
    <row r="234" spans="1:12" ht="30" customHeight="1" x14ac:dyDescent="0.2">
      <c r="A234" s="27" t="s">
        <v>1144</v>
      </c>
      <c r="B234" s="27"/>
      <c r="C234" s="27" t="s">
        <v>1112</v>
      </c>
      <c r="D234" s="31">
        <f t="shared" si="40"/>
        <v>5.9565000000000001</v>
      </c>
      <c r="E234" s="30">
        <f>22365*1.15</f>
        <v>25719.749999999996</v>
      </c>
      <c r="F234" s="31">
        <v>1.1499999999999999</v>
      </c>
      <c r="G234" s="31">
        <v>1.1000000000000001</v>
      </c>
      <c r="H234" s="31">
        <v>1.35</v>
      </c>
      <c r="I234" s="31">
        <v>1.3</v>
      </c>
      <c r="J234" s="31">
        <v>1.0777000000000001</v>
      </c>
      <c r="K234" s="30">
        <f t="shared" si="0"/>
        <v>61536.426419593125</v>
      </c>
      <c r="L234" s="30">
        <f t="shared" si="41"/>
        <v>689953.55974652257</v>
      </c>
    </row>
    <row r="235" spans="1:12" ht="30" customHeight="1" x14ac:dyDescent="0.2">
      <c r="A235" s="27" t="s">
        <v>1144</v>
      </c>
      <c r="B235" s="27"/>
      <c r="C235" s="27" t="s">
        <v>1114</v>
      </c>
      <c r="D235" s="31">
        <f t="shared" si="40"/>
        <v>6.4980000000000002</v>
      </c>
      <c r="E235" s="30">
        <f>27050*1.1</f>
        <v>29755.000000000004</v>
      </c>
      <c r="F235" s="31"/>
      <c r="G235" s="31">
        <v>1.1000000000000001</v>
      </c>
      <c r="H235" s="31">
        <v>1.35</v>
      </c>
      <c r="I235" s="31">
        <v>1.3</v>
      </c>
      <c r="J235" s="31"/>
      <c r="K235" s="30">
        <f t="shared" si="0"/>
        <v>57442.027500000018</v>
      </c>
      <c r="L235" s="30">
        <f t="shared" si="41"/>
        <v>747395.58724652254</v>
      </c>
    </row>
    <row r="236" spans="1:12" ht="30" customHeight="1" x14ac:dyDescent="0.2">
      <c r="A236" s="27" t="s">
        <v>1144</v>
      </c>
      <c r="B236" s="27"/>
      <c r="C236" s="27" t="s">
        <v>1116</v>
      </c>
      <c r="D236" s="31">
        <f t="shared" si="40"/>
        <v>7.0395000000000003</v>
      </c>
      <c r="E236" s="30">
        <v>22365</v>
      </c>
      <c r="F236" s="31">
        <v>1.1499999999999999</v>
      </c>
      <c r="G236" s="31">
        <v>1.1000000000000001</v>
      </c>
      <c r="H236" s="31">
        <v>1.35</v>
      </c>
      <c r="I236" s="31">
        <v>1.3</v>
      </c>
      <c r="J236" s="31">
        <v>1.0777000000000001</v>
      </c>
      <c r="K236" s="30">
        <f t="shared" si="0"/>
        <v>53509.936017037508</v>
      </c>
      <c r="L236" s="30">
        <f t="shared" si="41"/>
        <v>800905.52326356003</v>
      </c>
    </row>
    <row r="237" spans="1:12" ht="30" customHeight="1" x14ac:dyDescent="0.2">
      <c r="A237" s="27" t="s">
        <v>1144</v>
      </c>
      <c r="B237" s="27"/>
      <c r="C237" s="27" t="s">
        <v>1115</v>
      </c>
      <c r="D237" s="31">
        <f t="shared" si="40"/>
        <v>7.5810000000000004</v>
      </c>
      <c r="E237" s="30">
        <f>22365*1.15</f>
        <v>25719.749999999996</v>
      </c>
      <c r="F237" s="31">
        <v>1.1499999999999999</v>
      </c>
      <c r="G237" s="31">
        <v>1.1000000000000001</v>
      </c>
      <c r="H237" s="31">
        <v>1.35</v>
      </c>
      <c r="I237" s="31">
        <v>1.3</v>
      </c>
      <c r="J237" s="31">
        <v>1.0777000000000001</v>
      </c>
      <c r="K237" s="30">
        <f t="shared" si="0"/>
        <v>61536.426419593125</v>
      </c>
      <c r="L237" s="30">
        <f t="shared" si="41"/>
        <v>862441.94968315319</v>
      </c>
    </row>
    <row r="238" spans="1:12" ht="30" customHeight="1" x14ac:dyDescent="0.2">
      <c r="A238" s="27" t="s">
        <v>1144</v>
      </c>
      <c r="B238" s="27"/>
      <c r="C238" s="27" t="s">
        <v>1117</v>
      </c>
      <c r="D238" s="31">
        <f t="shared" si="40"/>
        <v>8.1225000000000005</v>
      </c>
      <c r="E238" s="30">
        <f>27050*1.1</f>
        <v>29755.000000000004</v>
      </c>
      <c r="F238" s="31"/>
      <c r="G238" s="31">
        <v>1.1000000000000001</v>
      </c>
      <c r="H238" s="31">
        <v>1.35</v>
      </c>
      <c r="I238" s="31">
        <v>1.3</v>
      </c>
      <c r="J238" s="31"/>
      <c r="K238" s="30">
        <f t="shared" si="0"/>
        <v>57442.027500000018</v>
      </c>
      <c r="L238" s="30">
        <f t="shared" si="41"/>
        <v>919883.97718315315</v>
      </c>
    </row>
    <row r="239" spans="1:12" ht="30" customHeight="1" x14ac:dyDescent="0.2">
      <c r="A239" s="27" t="s">
        <v>1144</v>
      </c>
      <c r="B239" s="27"/>
      <c r="C239" s="27" t="s">
        <v>1119</v>
      </c>
      <c r="D239" s="31">
        <f t="shared" si="40"/>
        <v>8.6639999999999997</v>
      </c>
      <c r="E239" s="30">
        <v>22365</v>
      </c>
      <c r="F239" s="31">
        <v>1.1499999999999999</v>
      </c>
      <c r="G239" s="31">
        <v>1.1000000000000001</v>
      </c>
      <c r="H239" s="31">
        <v>1.35</v>
      </c>
      <c r="I239" s="31">
        <v>1.3</v>
      </c>
      <c r="J239" s="31">
        <v>1.0777000000000001</v>
      </c>
      <c r="K239" s="30">
        <f t="shared" si="0"/>
        <v>53509.936017037508</v>
      </c>
      <c r="L239" s="30">
        <f t="shared" si="41"/>
        <v>973393.91320019064</v>
      </c>
    </row>
    <row r="240" spans="1:12" ht="30" customHeight="1" x14ac:dyDescent="0.2">
      <c r="A240" s="27" t="s">
        <v>1144</v>
      </c>
      <c r="B240" s="27"/>
      <c r="C240" s="27" t="s">
        <v>1118</v>
      </c>
      <c r="D240" s="31">
        <f t="shared" si="40"/>
        <v>9.2054999999999989</v>
      </c>
      <c r="E240" s="30">
        <f>22365*1.15</f>
        <v>25719.749999999996</v>
      </c>
      <c r="F240" s="31">
        <v>1.1499999999999999</v>
      </c>
      <c r="G240" s="31">
        <v>1.1000000000000001</v>
      </c>
      <c r="H240" s="31">
        <v>1.35</v>
      </c>
      <c r="I240" s="31">
        <v>1.3</v>
      </c>
      <c r="J240" s="31">
        <v>1.0777000000000001</v>
      </c>
      <c r="K240" s="30">
        <f t="shared" si="0"/>
        <v>61536.426419593125</v>
      </c>
      <c r="L240" s="30">
        <f t="shared" si="41"/>
        <v>1034930.3396197838</v>
      </c>
    </row>
    <row r="241" spans="1:12" ht="30" customHeight="1" x14ac:dyDescent="0.2">
      <c r="A241" s="27" t="s">
        <v>1144</v>
      </c>
      <c r="B241" s="27"/>
      <c r="C241" s="27" t="s">
        <v>1120</v>
      </c>
      <c r="D241" s="31">
        <f t="shared" si="40"/>
        <v>9.7469999999999981</v>
      </c>
      <c r="E241" s="30">
        <f>27050*1.1</f>
        <v>29755.000000000004</v>
      </c>
      <c r="F241" s="31"/>
      <c r="G241" s="31">
        <v>1.1000000000000001</v>
      </c>
      <c r="H241" s="31">
        <v>1.35</v>
      </c>
      <c r="I241" s="31">
        <v>1.3</v>
      </c>
      <c r="J241" s="31"/>
      <c r="K241" s="30">
        <f t="shared" si="0"/>
        <v>57442.027500000018</v>
      </c>
      <c r="L241" s="30">
        <f t="shared" si="41"/>
        <v>1092372.3671197838</v>
      </c>
    </row>
    <row r="242" spans="1:12" ht="30" customHeight="1" x14ac:dyDescent="0.2">
      <c r="A242" s="27" t="s">
        <v>1144</v>
      </c>
      <c r="B242" s="27"/>
      <c r="C242" s="27" t="s">
        <v>1122</v>
      </c>
      <c r="D242" s="31">
        <f t="shared" si="40"/>
        <v>10.288499999999997</v>
      </c>
      <c r="E242" s="30">
        <v>22365</v>
      </c>
      <c r="F242" s="31">
        <v>1.1499999999999999</v>
      </c>
      <c r="G242" s="31">
        <v>1.1000000000000001</v>
      </c>
      <c r="H242" s="31">
        <v>1.35</v>
      </c>
      <c r="I242" s="31">
        <v>1.3</v>
      </c>
      <c r="J242" s="31">
        <v>1.0777000000000001</v>
      </c>
      <c r="K242" s="30">
        <f t="shared" si="0"/>
        <v>53509.936017037508</v>
      </c>
      <c r="L242" s="30">
        <f t="shared" si="41"/>
        <v>1145882.3031368214</v>
      </c>
    </row>
    <row r="243" spans="1:12" ht="30" customHeight="1" x14ac:dyDescent="0.2">
      <c r="A243" s="27" t="s">
        <v>1144</v>
      </c>
      <c r="B243" s="27"/>
      <c r="C243" s="27" t="s">
        <v>1121</v>
      </c>
      <c r="D243" s="31">
        <f t="shared" si="40"/>
        <v>10.829999999999997</v>
      </c>
      <c r="E243" s="30">
        <f>22365*1.15</f>
        <v>25719.749999999996</v>
      </c>
      <c r="F243" s="31">
        <v>1.1499999999999999</v>
      </c>
      <c r="G243" s="31">
        <v>1.1000000000000001</v>
      </c>
      <c r="H243" s="31">
        <v>1.35</v>
      </c>
      <c r="I243" s="31">
        <v>1.3</v>
      </c>
      <c r="J243" s="31">
        <v>1.0777000000000001</v>
      </c>
      <c r="K243" s="30">
        <f t="shared" si="0"/>
        <v>61536.426419593125</v>
      </c>
      <c r="L243" s="30">
        <f t="shared" si="41"/>
        <v>1207418.7295564145</v>
      </c>
    </row>
    <row r="244" spans="1:12" ht="30" customHeight="1" x14ac:dyDescent="0.2">
      <c r="A244" s="27" t="s">
        <v>1144</v>
      </c>
      <c r="B244" s="27"/>
      <c r="C244" s="27" t="s">
        <v>1145</v>
      </c>
      <c r="D244" s="31">
        <f>D243+1</f>
        <v>11.829999999999997</v>
      </c>
      <c r="E244" s="30">
        <f>27050*1.1</f>
        <v>29755.000000000004</v>
      </c>
      <c r="F244" s="31"/>
      <c r="G244" s="31">
        <v>1.1000000000000001</v>
      </c>
      <c r="H244" s="31">
        <v>1.35</v>
      </c>
      <c r="I244" s="31">
        <v>1.3</v>
      </c>
      <c r="J244" s="31"/>
      <c r="K244" s="30">
        <f t="shared" si="0"/>
        <v>57442.027500000018</v>
      </c>
      <c r="L244" s="30">
        <f t="shared" si="41"/>
        <v>1264860.7570564146</v>
      </c>
    </row>
    <row r="245" spans="1:12" ht="30" customHeight="1" x14ac:dyDescent="0.2">
      <c r="A245" s="27" t="s">
        <v>1144</v>
      </c>
      <c r="B245" s="27"/>
      <c r="C245" s="27" t="s">
        <v>1125</v>
      </c>
      <c r="D245" s="31">
        <f t="shared" ref="D245:D264" si="42">D244+0.5415</f>
        <v>12.371499999999996</v>
      </c>
      <c r="E245" s="30">
        <v>22365</v>
      </c>
      <c r="F245" s="31">
        <v>1.1499999999999999</v>
      </c>
      <c r="G245" s="31">
        <v>1.1000000000000001</v>
      </c>
      <c r="H245" s="31">
        <v>1.35</v>
      </c>
      <c r="I245" s="31">
        <v>1.3</v>
      </c>
      <c r="J245" s="31">
        <v>1.0777000000000001</v>
      </c>
      <c r="K245" s="30">
        <f t="shared" si="0"/>
        <v>53509.936017037508</v>
      </c>
      <c r="L245" s="30">
        <f t="shared" si="41"/>
        <v>1318370.6930734522</v>
      </c>
    </row>
    <row r="246" spans="1:12" ht="30" customHeight="1" x14ac:dyDescent="0.2">
      <c r="A246" s="27" t="s">
        <v>1144</v>
      </c>
      <c r="B246" s="27"/>
      <c r="C246" s="27" t="s">
        <v>1124</v>
      </c>
      <c r="D246" s="31">
        <f t="shared" si="42"/>
        <v>12.912999999999995</v>
      </c>
      <c r="E246" s="30">
        <f>22365*1.15</f>
        <v>25719.749999999996</v>
      </c>
      <c r="F246" s="31">
        <v>1.1499999999999999</v>
      </c>
      <c r="G246" s="31">
        <v>1.1000000000000001</v>
      </c>
      <c r="H246" s="31">
        <v>1.35</v>
      </c>
      <c r="I246" s="31">
        <v>1.3</v>
      </c>
      <c r="J246" s="31">
        <v>1.0777000000000001</v>
      </c>
      <c r="K246" s="30">
        <f t="shared" si="0"/>
        <v>61536.426419593125</v>
      </c>
      <c r="L246" s="30">
        <f t="shared" si="41"/>
        <v>1379907.1194930454</v>
      </c>
    </row>
    <row r="247" spans="1:12" ht="30" customHeight="1" x14ac:dyDescent="0.2">
      <c r="A247" s="27" t="s">
        <v>1144</v>
      </c>
      <c r="B247" s="27"/>
      <c r="C247" s="27" t="s">
        <v>1126</v>
      </c>
      <c r="D247" s="31">
        <f t="shared" si="42"/>
        <v>13.454499999999994</v>
      </c>
      <c r="E247" s="30">
        <f>27050*1.1</f>
        <v>29755.000000000004</v>
      </c>
      <c r="F247" s="31"/>
      <c r="G247" s="31">
        <v>1.1000000000000001</v>
      </c>
      <c r="H247" s="31">
        <v>1.35</v>
      </c>
      <c r="I247" s="31">
        <v>1.3</v>
      </c>
      <c r="J247" s="31"/>
      <c r="K247" s="30">
        <f t="shared" si="0"/>
        <v>57442.027500000018</v>
      </c>
      <c r="L247" s="30">
        <f t="shared" si="41"/>
        <v>1437349.1469930455</v>
      </c>
    </row>
    <row r="248" spans="1:12" ht="30" customHeight="1" x14ac:dyDescent="0.2">
      <c r="A248" s="27" t="s">
        <v>1144</v>
      </c>
      <c r="B248" s="27"/>
      <c r="C248" s="27" t="s">
        <v>1128</v>
      </c>
      <c r="D248" s="31">
        <f t="shared" si="42"/>
        <v>13.995999999999993</v>
      </c>
      <c r="E248" s="30">
        <v>22365</v>
      </c>
      <c r="F248" s="31">
        <v>1.1499999999999999</v>
      </c>
      <c r="G248" s="31">
        <v>1.1000000000000001</v>
      </c>
      <c r="H248" s="31">
        <v>1.35</v>
      </c>
      <c r="I248" s="31">
        <v>1.3</v>
      </c>
      <c r="J248" s="31">
        <v>1.0777000000000001</v>
      </c>
      <c r="K248" s="30">
        <f t="shared" si="0"/>
        <v>53509.936017037508</v>
      </c>
      <c r="L248" s="30">
        <f t="shared" si="41"/>
        <v>1490859.0830100831</v>
      </c>
    </row>
    <row r="249" spans="1:12" ht="30" customHeight="1" x14ac:dyDescent="0.2">
      <c r="A249" s="27" t="s">
        <v>1144</v>
      </c>
      <c r="B249" s="27"/>
      <c r="C249" s="27" t="s">
        <v>1127</v>
      </c>
      <c r="D249" s="31">
        <f t="shared" si="42"/>
        <v>14.537499999999993</v>
      </c>
      <c r="E249" s="30">
        <f>22365*1.15</f>
        <v>25719.749999999996</v>
      </c>
      <c r="F249" s="31">
        <v>1.1499999999999999</v>
      </c>
      <c r="G249" s="31">
        <v>1.1000000000000001</v>
      </c>
      <c r="H249" s="31">
        <v>1.35</v>
      </c>
      <c r="I249" s="31">
        <v>1.3</v>
      </c>
      <c r="J249" s="31">
        <v>1.0777000000000001</v>
      </c>
      <c r="K249" s="30">
        <f t="shared" si="0"/>
        <v>61536.426419593125</v>
      </c>
      <c r="L249" s="30">
        <f t="shared" si="41"/>
        <v>1552395.5094296762</v>
      </c>
    </row>
    <row r="250" spans="1:12" ht="30" customHeight="1" x14ac:dyDescent="0.2">
      <c r="A250" s="27" t="s">
        <v>1144</v>
      </c>
      <c r="B250" s="27"/>
      <c r="C250" s="27" t="s">
        <v>1129</v>
      </c>
      <c r="D250" s="31">
        <f t="shared" si="42"/>
        <v>15.078999999999992</v>
      </c>
      <c r="E250" s="30">
        <f>27050*1.1</f>
        <v>29755.000000000004</v>
      </c>
      <c r="F250" s="31"/>
      <c r="G250" s="31">
        <v>1.1000000000000001</v>
      </c>
      <c r="H250" s="31">
        <v>1.35</v>
      </c>
      <c r="I250" s="31">
        <v>1.3</v>
      </c>
      <c r="J250" s="31"/>
      <c r="K250" s="30">
        <f t="shared" si="0"/>
        <v>57442.027500000018</v>
      </c>
      <c r="L250" s="30">
        <f t="shared" si="41"/>
        <v>1609837.5369296763</v>
      </c>
    </row>
    <row r="251" spans="1:12" ht="30" customHeight="1" x14ac:dyDescent="0.2">
      <c r="A251" s="27" t="s">
        <v>1144</v>
      </c>
      <c r="B251" s="27"/>
      <c r="C251" s="27" t="s">
        <v>1131</v>
      </c>
      <c r="D251" s="31">
        <f t="shared" si="42"/>
        <v>15.620499999999991</v>
      </c>
      <c r="E251" s="30">
        <v>22365</v>
      </c>
      <c r="F251" s="31">
        <v>1.1499999999999999</v>
      </c>
      <c r="G251" s="31">
        <v>1.1000000000000001</v>
      </c>
      <c r="H251" s="31">
        <v>1.35</v>
      </c>
      <c r="I251" s="31">
        <v>1.3</v>
      </c>
      <c r="J251" s="31">
        <v>1.0777000000000001</v>
      </c>
      <c r="K251" s="30">
        <f t="shared" si="0"/>
        <v>53509.936017037508</v>
      </c>
      <c r="L251" s="30">
        <f t="shared" si="41"/>
        <v>1663347.4729467139</v>
      </c>
    </row>
    <row r="252" spans="1:12" ht="30" customHeight="1" x14ac:dyDescent="0.2">
      <c r="A252" s="27" t="s">
        <v>1144</v>
      </c>
      <c r="B252" s="27"/>
      <c r="C252" s="27" t="s">
        <v>1130</v>
      </c>
      <c r="D252" s="31">
        <f t="shared" si="42"/>
        <v>16.161999999999992</v>
      </c>
      <c r="E252" s="30">
        <f>22365*1.15</f>
        <v>25719.749999999996</v>
      </c>
      <c r="F252" s="31">
        <v>1.1499999999999999</v>
      </c>
      <c r="G252" s="31">
        <v>1.1000000000000001</v>
      </c>
      <c r="H252" s="31">
        <v>1.35</v>
      </c>
      <c r="I252" s="31">
        <v>1.3</v>
      </c>
      <c r="J252" s="31">
        <v>1.0777000000000001</v>
      </c>
      <c r="K252" s="30">
        <f t="shared" si="0"/>
        <v>61536.426419593125</v>
      </c>
      <c r="L252" s="30">
        <f t="shared" si="41"/>
        <v>1724883.8993663071</v>
      </c>
    </row>
    <row r="253" spans="1:12" ht="30" customHeight="1" x14ac:dyDescent="0.2">
      <c r="A253" s="27" t="s">
        <v>1144</v>
      </c>
      <c r="B253" s="27"/>
      <c r="C253" s="27" t="s">
        <v>1132</v>
      </c>
      <c r="D253" s="31">
        <f t="shared" si="42"/>
        <v>16.703499999999991</v>
      </c>
      <c r="E253" s="30">
        <f>27050*1.1</f>
        <v>29755.000000000004</v>
      </c>
      <c r="F253" s="31"/>
      <c r="G253" s="31">
        <v>1.1000000000000001</v>
      </c>
      <c r="H253" s="31">
        <v>1.35</v>
      </c>
      <c r="I253" s="31">
        <v>1.3</v>
      </c>
      <c r="J253" s="31"/>
      <c r="K253" s="30">
        <f t="shared" si="0"/>
        <v>57442.027500000018</v>
      </c>
      <c r="L253" s="30">
        <f t="shared" si="41"/>
        <v>1782325.9268663072</v>
      </c>
    </row>
    <row r="254" spans="1:12" ht="30" customHeight="1" x14ac:dyDescent="0.2">
      <c r="A254" s="27" t="s">
        <v>1144</v>
      </c>
      <c r="B254" s="27"/>
      <c r="C254" s="27" t="s">
        <v>1134</v>
      </c>
      <c r="D254" s="31">
        <f t="shared" si="42"/>
        <v>17.24499999999999</v>
      </c>
      <c r="E254" s="30">
        <v>22365</v>
      </c>
      <c r="F254" s="31">
        <v>1.1499999999999999</v>
      </c>
      <c r="G254" s="31">
        <v>1.1000000000000001</v>
      </c>
      <c r="H254" s="31">
        <v>1.35</v>
      </c>
      <c r="I254" s="31">
        <v>1.3</v>
      </c>
      <c r="J254" s="31">
        <v>1.0777000000000001</v>
      </c>
      <c r="K254" s="30">
        <f t="shared" si="0"/>
        <v>53509.936017037508</v>
      </c>
      <c r="L254" s="30">
        <f t="shared" si="41"/>
        <v>1835835.8628833448</v>
      </c>
    </row>
    <row r="255" spans="1:12" ht="30" customHeight="1" x14ac:dyDescent="0.2">
      <c r="A255" s="27" t="s">
        <v>1144</v>
      </c>
      <c r="B255" s="27"/>
      <c r="C255" s="27" t="s">
        <v>1133</v>
      </c>
      <c r="D255" s="31">
        <f t="shared" si="42"/>
        <v>17.78649999999999</v>
      </c>
      <c r="E255" s="30">
        <f>22365*1.15</f>
        <v>25719.749999999996</v>
      </c>
      <c r="F255" s="31">
        <v>1.1499999999999999</v>
      </c>
      <c r="G255" s="31">
        <v>1.1000000000000001</v>
      </c>
      <c r="H255" s="31">
        <v>1.35</v>
      </c>
      <c r="I255" s="31">
        <v>1.3</v>
      </c>
      <c r="J255" s="31">
        <v>1.0777000000000001</v>
      </c>
      <c r="K255" s="30">
        <f t="shared" si="0"/>
        <v>61536.426419593125</v>
      </c>
      <c r="L255" s="30">
        <f t="shared" si="41"/>
        <v>1897372.2893029379</v>
      </c>
    </row>
    <row r="256" spans="1:12" ht="30" customHeight="1" x14ac:dyDescent="0.2">
      <c r="A256" s="27" t="s">
        <v>1144</v>
      </c>
      <c r="B256" s="27"/>
      <c r="C256" s="27" t="s">
        <v>1135</v>
      </c>
      <c r="D256" s="31">
        <f t="shared" si="42"/>
        <v>18.327999999999989</v>
      </c>
      <c r="E256" s="30">
        <f>27050*1.1</f>
        <v>29755.000000000004</v>
      </c>
      <c r="F256" s="31"/>
      <c r="G256" s="31">
        <v>1.1000000000000001</v>
      </c>
      <c r="H256" s="31">
        <v>1.35</v>
      </c>
      <c r="I256" s="31">
        <v>1.3</v>
      </c>
      <c r="J256" s="31"/>
      <c r="K256" s="30">
        <f t="shared" si="0"/>
        <v>57442.027500000018</v>
      </c>
      <c r="L256" s="30">
        <f t="shared" si="41"/>
        <v>1954814.316802938</v>
      </c>
    </row>
    <row r="257" spans="1:12" ht="30" customHeight="1" x14ac:dyDescent="0.2">
      <c r="A257" s="27" t="s">
        <v>1144</v>
      </c>
      <c r="B257" s="27"/>
      <c r="C257" s="27" t="s">
        <v>1137</v>
      </c>
      <c r="D257" s="31">
        <f t="shared" si="42"/>
        <v>18.869499999999988</v>
      </c>
      <c r="E257" s="30">
        <v>22365</v>
      </c>
      <c r="F257" s="31">
        <v>1.1499999999999999</v>
      </c>
      <c r="G257" s="31">
        <v>1.1000000000000001</v>
      </c>
      <c r="H257" s="31">
        <v>1.35</v>
      </c>
      <c r="I257" s="31">
        <v>1.3</v>
      </c>
      <c r="J257" s="31">
        <v>1.0777000000000001</v>
      </c>
      <c r="K257" s="30">
        <f t="shared" ref="K257:K511" si="43">PRODUCT(E257:J257)</f>
        <v>53509.936017037508</v>
      </c>
      <c r="L257" s="30">
        <f t="shared" si="41"/>
        <v>2008324.2528199756</v>
      </c>
    </row>
    <row r="258" spans="1:12" ht="30" customHeight="1" x14ac:dyDescent="0.2">
      <c r="A258" s="27" t="s">
        <v>1144</v>
      </c>
      <c r="B258" s="27"/>
      <c r="C258" s="27" t="s">
        <v>1136</v>
      </c>
      <c r="D258" s="31">
        <f t="shared" si="42"/>
        <v>19.410999999999987</v>
      </c>
      <c r="E258" s="30">
        <f>22365*1.15</f>
        <v>25719.749999999996</v>
      </c>
      <c r="F258" s="31">
        <v>1.1499999999999999</v>
      </c>
      <c r="G258" s="31">
        <v>1.1000000000000001</v>
      </c>
      <c r="H258" s="31">
        <v>1.35</v>
      </c>
      <c r="I258" s="31">
        <v>1.3</v>
      </c>
      <c r="J258" s="31">
        <v>1.0777000000000001</v>
      </c>
      <c r="K258" s="30">
        <f t="shared" si="43"/>
        <v>61536.426419593125</v>
      </c>
      <c r="L258" s="30">
        <f t="shared" si="41"/>
        <v>2069860.6792395688</v>
      </c>
    </row>
    <row r="259" spans="1:12" ht="30" customHeight="1" x14ac:dyDescent="0.2">
      <c r="A259" s="27" t="s">
        <v>1144</v>
      </c>
      <c r="B259" s="27"/>
      <c r="C259" s="27" t="s">
        <v>1138</v>
      </c>
      <c r="D259" s="31">
        <f t="shared" si="42"/>
        <v>19.952499999999986</v>
      </c>
      <c r="E259" s="30">
        <f>27050*1.1</f>
        <v>29755.000000000004</v>
      </c>
      <c r="F259" s="31"/>
      <c r="G259" s="31">
        <v>1.1000000000000001</v>
      </c>
      <c r="H259" s="31">
        <v>1.35</v>
      </c>
      <c r="I259" s="31">
        <v>1.3</v>
      </c>
      <c r="J259" s="31"/>
      <c r="K259" s="30">
        <f t="shared" si="43"/>
        <v>57442.027500000018</v>
      </c>
      <c r="L259" s="30">
        <f t="shared" si="41"/>
        <v>2127302.7067395686</v>
      </c>
    </row>
    <row r="260" spans="1:12" ht="30" customHeight="1" x14ac:dyDescent="0.2">
      <c r="A260" s="27" t="s">
        <v>1144</v>
      </c>
      <c r="B260" s="27"/>
      <c r="C260" s="27" t="s">
        <v>1140</v>
      </c>
      <c r="D260" s="31">
        <f t="shared" si="42"/>
        <v>20.493999999999986</v>
      </c>
      <c r="E260" s="30">
        <v>22365</v>
      </c>
      <c r="F260" s="31">
        <v>1.1499999999999999</v>
      </c>
      <c r="G260" s="31">
        <v>1.1000000000000001</v>
      </c>
      <c r="H260" s="31">
        <v>1.35</v>
      </c>
      <c r="I260" s="31">
        <v>1.3</v>
      </c>
      <c r="J260" s="31">
        <v>1.0777000000000001</v>
      </c>
      <c r="K260" s="30">
        <f t="shared" si="43"/>
        <v>53509.936017037508</v>
      </c>
      <c r="L260" s="30">
        <f t="shared" si="41"/>
        <v>2180812.642756606</v>
      </c>
    </row>
    <row r="261" spans="1:12" ht="30" customHeight="1" x14ac:dyDescent="0.2">
      <c r="A261" s="27" t="s">
        <v>1144</v>
      </c>
      <c r="B261" s="27"/>
      <c r="C261" s="27" t="s">
        <v>1139</v>
      </c>
      <c r="D261" s="31">
        <f t="shared" si="42"/>
        <v>21.035499999999985</v>
      </c>
      <c r="E261" s="30">
        <f>22365*1.15</f>
        <v>25719.749999999996</v>
      </c>
      <c r="F261" s="31">
        <v>1.1499999999999999</v>
      </c>
      <c r="G261" s="31">
        <v>1.1000000000000001</v>
      </c>
      <c r="H261" s="31">
        <v>1.35</v>
      </c>
      <c r="I261" s="31">
        <v>1.3</v>
      </c>
      <c r="J261" s="31">
        <v>1.0777000000000001</v>
      </c>
      <c r="K261" s="30">
        <f t="shared" si="43"/>
        <v>61536.426419593125</v>
      </c>
      <c r="L261" s="30">
        <f t="shared" si="41"/>
        <v>2242349.0691761989</v>
      </c>
    </row>
    <row r="262" spans="1:12" ht="30" customHeight="1" x14ac:dyDescent="0.2">
      <c r="A262" s="27" t="s">
        <v>1144</v>
      </c>
      <c r="B262" s="27"/>
      <c r="C262" s="27" t="s">
        <v>1141</v>
      </c>
      <c r="D262" s="31">
        <f t="shared" si="42"/>
        <v>21.576999999999984</v>
      </c>
      <c r="E262" s="30">
        <f>27050*1.1</f>
        <v>29755.000000000004</v>
      </c>
      <c r="F262" s="31"/>
      <c r="G262" s="31">
        <v>1.1000000000000001</v>
      </c>
      <c r="H262" s="31">
        <v>1.35</v>
      </c>
      <c r="I262" s="31">
        <v>1.3</v>
      </c>
      <c r="J262" s="31"/>
      <c r="K262" s="30">
        <f t="shared" si="43"/>
        <v>57442.027500000018</v>
      </c>
      <c r="L262" s="30">
        <f t="shared" si="41"/>
        <v>2299791.0966761988</v>
      </c>
    </row>
    <row r="263" spans="1:12" ht="30" customHeight="1" x14ac:dyDescent="0.2">
      <c r="A263" s="27" t="s">
        <v>1144</v>
      </c>
      <c r="B263" s="27"/>
      <c r="C263" s="27" t="s">
        <v>1143</v>
      </c>
      <c r="D263" s="31">
        <f t="shared" si="42"/>
        <v>22.118499999999983</v>
      </c>
      <c r="E263" s="30">
        <v>22365</v>
      </c>
      <c r="F263" s="31">
        <v>1.1499999999999999</v>
      </c>
      <c r="G263" s="31">
        <v>1.1000000000000001</v>
      </c>
      <c r="H263" s="31">
        <v>1.35</v>
      </c>
      <c r="I263" s="31">
        <v>1.3</v>
      </c>
      <c r="J263" s="31">
        <v>1.0777000000000001</v>
      </c>
      <c r="K263" s="30">
        <f t="shared" si="43"/>
        <v>53509.936017037508</v>
      </c>
      <c r="L263" s="30">
        <f t="shared" si="41"/>
        <v>2353301.0326932361</v>
      </c>
    </row>
    <row r="264" spans="1:12" ht="30" customHeight="1" x14ac:dyDescent="0.2">
      <c r="A264" s="27" t="s">
        <v>1144</v>
      </c>
      <c r="B264" s="27"/>
      <c r="C264" s="27" t="s">
        <v>1142</v>
      </c>
      <c r="D264" s="31">
        <f t="shared" si="42"/>
        <v>22.659999999999982</v>
      </c>
      <c r="E264" s="30">
        <f>22365*1.15</f>
        <v>25719.749999999996</v>
      </c>
      <c r="F264" s="31">
        <v>1.1499999999999999</v>
      </c>
      <c r="G264" s="31">
        <v>1.1000000000000001</v>
      </c>
      <c r="H264" s="31">
        <v>1.35</v>
      </c>
      <c r="I264" s="31">
        <v>1.3</v>
      </c>
      <c r="J264" s="31">
        <v>1.0777000000000001</v>
      </c>
      <c r="K264" s="30">
        <f t="shared" si="43"/>
        <v>61536.426419593125</v>
      </c>
      <c r="L264" s="30">
        <f t="shared" si="41"/>
        <v>2414837.4591128291</v>
      </c>
    </row>
    <row r="265" spans="1:12" ht="30" customHeight="1" x14ac:dyDescent="0.2">
      <c r="A265" s="27" t="s">
        <v>1144</v>
      </c>
      <c r="B265" s="27"/>
      <c r="C265" s="27" t="s">
        <v>1146</v>
      </c>
      <c r="D265" s="31">
        <f>D264+1</f>
        <v>23.659999999999982</v>
      </c>
      <c r="E265" s="30">
        <f>27050*1.1</f>
        <v>29755.000000000004</v>
      </c>
      <c r="F265" s="31"/>
      <c r="G265" s="31">
        <v>1.1000000000000001</v>
      </c>
      <c r="H265" s="31">
        <v>1.35</v>
      </c>
      <c r="I265" s="31">
        <v>1.3</v>
      </c>
      <c r="J265" s="31"/>
      <c r="K265" s="30">
        <f t="shared" si="43"/>
        <v>57442.027500000018</v>
      </c>
      <c r="L265" s="30">
        <f t="shared" si="41"/>
        <v>2472279.4866128289</v>
      </c>
    </row>
    <row r="266" spans="1:12" ht="30" customHeight="1" x14ac:dyDescent="0.2">
      <c r="A266" s="27" t="s">
        <v>1144</v>
      </c>
      <c r="B266" s="27"/>
      <c r="C266" s="27" t="s">
        <v>1147</v>
      </c>
      <c r="D266" s="31">
        <f t="shared" ref="D266:D276" si="44">D265+0.5415</f>
        <v>24.201499999999982</v>
      </c>
      <c r="E266" s="30">
        <v>22365</v>
      </c>
      <c r="F266" s="31">
        <v>1.1499999999999999</v>
      </c>
      <c r="G266" s="31">
        <v>1.1000000000000001</v>
      </c>
      <c r="H266" s="31">
        <v>1.35</v>
      </c>
      <c r="I266" s="31">
        <v>1.3</v>
      </c>
      <c r="J266" s="31">
        <v>1.0777000000000001</v>
      </c>
      <c r="K266" s="30">
        <f t="shared" si="43"/>
        <v>53509.936017037508</v>
      </c>
      <c r="L266" s="30">
        <f t="shared" si="41"/>
        <v>2525789.4226298663</v>
      </c>
    </row>
    <row r="267" spans="1:12" ht="30" customHeight="1" x14ac:dyDescent="0.2">
      <c r="A267" s="27" t="s">
        <v>1144</v>
      </c>
      <c r="B267" s="27"/>
      <c r="C267" s="27" t="s">
        <v>1148</v>
      </c>
      <c r="D267" s="31">
        <f t="shared" si="44"/>
        <v>24.742999999999981</v>
      </c>
      <c r="E267" s="30">
        <f>22365*1.15</f>
        <v>25719.749999999996</v>
      </c>
      <c r="F267" s="31">
        <v>1.1499999999999999</v>
      </c>
      <c r="G267" s="31">
        <v>1.1000000000000001</v>
      </c>
      <c r="H267" s="31">
        <v>1.35</v>
      </c>
      <c r="I267" s="31">
        <v>1.3</v>
      </c>
      <c r="J267" s="31">
        <v>1.0777000000000001</v>
      </c>
      <c r="K267" s="30">
        <f t="shared" si="43"/>
        <v>61536.426419593125</v>
      </c>
      <c r="L267" s="30">
        <f t="shared" si="41"/>
        <v>2587325.8490494592</v>
      </c>
    </row>
    <row r="268" spans="1:12" ht="30" customHeight="1" x14ac:dyDescent="0.2">
      <c r="A268" s="27" t="s">
        <v>1144</v>
      </c>
      <c r="B268" s="27"/>
      <c r="C268" s="27" t="s">
        <v>1149</v>
      </c>
      <c r="D268" s="31">
        <f t="shared" si="44"/>
        <v>25.28449999999998</v>
      </c>
      <c r="E268" s="30">
        <f>27050*1.1</f>
        <v>29755.000000000004</v>
      </c>
      <c r="F268" s="31"/>
      <c r="G268" s="31">
        <v>1.1000000000000001</v>
      </c>
      <c r="H268" s="31">
        <v>1.35</v>
      </c>
      <c r="I268" s="31">
        <v>1.3</v>
      </c>
      <c r="J268" s="31"/>
      <c r="K268" s="30">
        <f t="shared" si="43"/>
        <v>57442.027500000018</v>
      </c>
      <c r="L268" s="30">
        <f t="shared" si="41"/>
        <v>2644767.8765494591</v>
      </c>
    </row>
    <row r="269" spans="1:12" ht="30" customHeight="1" x14ac:dyDescent="0.2">
      <c r="A269" s="27" t="s">
        <v>1144</v>
      </c>
      <c r="B269" s="27"/>
      <c r="C269" s="27" t="s">
        <v>1150</v>
      </c>
      <c r="D269" s="31">
        <f t="shared" si="44"/>
        <v>25.825999999999979</v>
      </c>
      <c r="E269" s="30">
        <v>22365</v>
      </c>
      <c r="F269" s="31">
        <v>1.1499999999999999</v>
      </c>
      <c r="G269" s="31">
        <v>1.1000000000000001</v>
      </c>
      <c r="H269" s="31">
        <v>1.35</v>
      </c>
      <c r="I269" s="31">
        <v>1.3</v>
      </c>
      <c r="J269" s="31">
        <v>1.0777000000000001</v>
      </c>
      <c r="K269" s="30">
        <f t="shared" si="43"/>
        <v>53509.936017037508</v>
      </c>
      <c r="L269" s="30">
        <f t="shared" si="41"/>
        <v>2698277.8125664964</v>
      </c>
    </row>
    <row r="270" spans="1:12" ht="30" customHeight="1" x14ac:dyDescent="0.2">
      <c r="A270" s="27" t="s">
        <v>1144</v>
      </c>
      <c r="B270" s="27"/>
      <c r="C270" s="27" t="s">
        <v>1151</v>
      </c>
      <c r="D270" s="31">
        <f t="shared" si="44"/>
        <v>26.367499999999978</v>
      </c>
      <c r="E270" s="30">
        <f>22365*1.15</f>
        <v>25719.749999999996</v>
      </c>
      <c r="F270" s="31">
        <v>1.1499999999999999</v>
      </c>
      <c r="G270" s="31">
        <v>1.1000000000000001</v>
      </c>
      <c r="H270" s="31">
        <v>1.35</v>
      </c>
      <c r="I270" s="31">
        <v>1.3</v>
      </c>
      <c r="J270" s="31">
        <v>1.0777000000000001</v>
      </c>
      <c r="K270" s="30">
        <f t="shared" si="43"/>
        <v>61536.426419593125</v>
      </c>
      <c r="L270" s="30">
        <f t="shared" si="41"/>
        <v>2759814.2389860894</v>
      </c>
    </row>
    <row r="271" spans="1:12" ht="30" customHeight="1" x14ac:dyDescent="0.2">
      <c r="A271" s="27" t="s">
        <v>1144</v>
      </c>
      <c r="B271" s="27"/>
      <c r="C271" s="27" t="s">
        <v>1152</v>
      </c>
      <c r="D271" s="31">
        <f t="shared" si="44"/>
        <v>26.908999999999978</v>
      </c>
      <c r="E271" s="30">
        <f>27050*1.1</f>
        <v>29755.000000000004</v>
      </c>
      <c r="F271" s="31"/>
      <c r="G271" s="31">
        <v>1.1000000000000001</v>
      </c>
      <c r="H271" s="31">
        <v>1.35</v>
      </c>
      <c r="I271" s="31">
        <v>1.3</v>
      </c>
      <c r="J271" s="31"/>
      <c r="K271" s="30">
        <f t="shared" si="43"/>
        <v>57442.027500000018</v>
      </c>
      <c r="L271" s="30">
        <f t="shared" si="41"/>
        <v>2817256.2664860892</v>
      </c>
    </row>
    <row r="272" spans="1:12" ht="30" customHeight="1" x14ac:dyDescent="0.2">
      <c r="A272" s="27" t="s">
        <v>1144</v>
      </c>
      <c r="B272" s="27"/>
      <c r="C272" s="27" t="s">
        <v>1153</v>
      </c>
      <c r="D272" s="31">
        <f t="shared" si="44"/>
        <v>27.450499999999977</v>
      </c>
      <c r="E272" s="30">
        <v>22365</v>
      </c>
      <c r="F272" s="31">
        <v>1.1499999999999999</v>
      </c>
      <c r="G272" s="31">
        <v>1.1000000000000001</v>
      </c>
      <c r="H272" s="31">
        <v>1.35</v>
      </c>
      <c r="I272" s="31">
        <v>1.3</v>
      </c>
      <c r="J272" s="31">
        <v>1.0777000000000001</v>
      </c>
      <c r="K272" s="30">
        <f t="shared" si="43"/>
        <v>53509.936017037508</v>
      </c>
      <c r="L272" s="30">
        <f t="shared" si="41"/>
        <v>2870766.2025031266</v>
      </c>
    </row>
    <row r="273" spans="1:12" ht="30" customHeight="1" x14ac:dyDescent="0.2">
      <c r="A273" s="27" t="s">
        <v>1144</v>
      </c>
      <c r="B273" s="27"/>
      <c r="C273" s="27" t="s">
        <v>1154</v>
      </c>
      <c r="D273" s="31">
        <f t="shared" si="44"/>
        <v>27.991999999999976</v>
      </c>
      <c r="E273" s="30">
        <f>22365*1.15</f>
        <v>25719.749999999996</v>
      </c>
      <c r="F273" s="31">
        <v>1.1499999999999999</v>
      </c>
      <c r="G273" s="31">
        <v>1.1000000000000001</v>
      </c>
      <c r="H273" s="31">
        <v>1.35</v>
      </c>
      <c r="I273" s="31">
        <v>1.3</v>
      </c>
      <c r="J273" s="31">
        <v>1.0777000000000001</v>
      </c>
      <c r="K273" s="30">
        <f t="shared" si="43"/>
        <v>61536.426419593125</v>
      </c>
      <c r="L273" s="30">
        <f t="shared" si="41"/>
        <v>2932302.6289227195</v>
      </c>
    </row>
    <row r="274" spans="1:12" ht="30" customHeight="1" x14ac:dyDescent="0.2">
      <c r="A274" s="27" t="s">
        <v>1144</v>
      </c>
      <c r="B274" s="27"/>
      <c r="C274" s="27" t="s">
        <v>1155</v>
      </c>
      <c r="D274" s="31">
        <f t="shared" si="44"/>
        <v>28.533499999999975</v>
      </c>
      <c r="E274" s="30">
        <f>27050*1.1</f>
        <v>29755.000000000004</v>
      </c>
      <c r="F274" s="31"/>
      <c r="G274" s="31">
        <v>1.1000000000000001</v>
      </c>
      <c r="H274" s="31">
        <v>1.35</v>
      </c>
      <c r="I274" s="31">
        <v>1.3</v>
      </c>
      <c r="J274" s="31"/>
      <c r="K274" s="30">
        <f t="shared" si="43"/>
        <v>57442.027500000018</v>
      </c>
      <c r="L274" s="30">
        <f t="shared" si="41"/>
        <v>2989744.6564227194</v>
      </c>
    </row>
    <row r="275" spans="1:12" ht="30" customHeight="1" x14ac:dyDescent="0.2">
      <c r="A275" s="27" t="s">
        <v>1144</v>
      </c>
      <c r="B275" s="27"/>
      <c r="C275" s="27" t="s">
        <v>1156</v>
      </c>
      <c r="D275" s="31">
        <f t="shared" si="44"/>
        <v>29.074999999999974</v>
      </c>
      <c r="E275" s="30">
        <v>22365</v>
      </c>
      <c r="F275" s="31">
        <v>1.1499999999999999</v>
      </c>
      <c r="G275" s="31">
        <v>1.1000000000000001</v>
      </c>
      <c r="H275" s="31">
        <v>1.35</v>
      </c>
      <c r="I275" s="31">
        <v>1.3</v>
      </c>
      <c r="J275" s="31">
        <v>1.0777000000000001</v>
      </c>
      <c r="K275" s="30">
        <f t="shared" si="43"/>
        <v>53509.936017037508</v>
      </c>
      <c r="L275" s="30">
        <f t="shared" si="41"/>
        <v>3043254.5924397567</v>
      </c>
    </row>
    <row r="276" spans="1:12" ht="30" customHeight="1" x14ac:dyDescent="0.2">
      <c r="A276" s="27" t="s">
        <v>1144</v>
      </c>
      <c r="B276" s="27"/>
      <c r="C276" s="27" t="s">
        <v>1157</v>
      </c>
      <c r="D276" s="31">
        <f t="shared" si="44"/>
        <v>29.616499999999974</v>
      </c>
      <c r="E276" s="30">
        <f>22365*1.15</f>
        <v>25719.749999999996</v>
      </c>
      <c r="F276" s="31">
        <v>1.1499999999999999</v>
      </c>
      <c r="G276" s="31">
        <v>1.1000000000000001</v>
      </c>
      <c r="H276" s="31">
        <v>1.35</v>
      </c>
      <c r="I276" s="31">
        <v>1.3</v>
      </c>
      <c r="J276" s="31">
        <v>1.0777000000000001</v>
      </c>
      <c r="K276" s="30">
        <f t="shared" si="43"/>
        <v>61536.426419593125</v>
      </c>
      <c r="L276" s="65">
        <f t="shared" si="41"/>
        <v>3104791.0188593497</v>
      </c>
    </row>
    <row r="277" spans="1:12" ht="30" customHeight="1" x14ac:dyDescent="0.2">
      <c r="A277" s="27" t="s">
        <v>1158</v>
      </c>
      <c r="B277" s="27"/>
      <c r="C277" s="27" t="s">
        <v>1159</v>
      </c>
      <c r="D277" s="31">
        <v>0</v>
      </c>
      <c r="E277" s="30">
        <f>26983*1.15</f>
        <v>31030.449999999997</v>
      </c>
      <c r="F277" s="31">
        <v>2</v>
      </c>
      <c r="G277" s="31"/>
      <c r="H277" s="31">
        <v>1.35</v>
      </c>
      <c r="I277" s="31">
        <v>1.3</v>
      </c>
      <c r="J277" s="31">
        <v>1.0777000000000001</v>
      </c>
      <c r="K277" s="30">
        <f t="shared" si="43"/>
        <v>117379.72103715001</v>
      </c>
      <c r="L277" s="30">
        <f>K277</f>
        <v>117379.72103715001</v>
      </c>
    </row>
    <row r="278" spans="1:12" ht="30" customHeight="1" x14ac:dyDescent="0.2">
      <c r="A278" s="27" t="s">
        <v>1158</v>
      </c>
      <c r="B278" s="27"/>
      <c r="C278" s="27" t="s">
        <v>1160</v>
      </c>
      <c r="D278" s="31">
        <f>D277+0.5415</f>
        <v>0.54149999999999998</v>
      </c>
      <c r="E278" s="30">
        <v>25917</v>
      </c>
      <c r="F278" s="31">
        <v>1.1499999999999999</v>
      </c>
      <c r="G278" s="31">
        <v>1.22</v>
      </c>
      <c r="H278" s="31">
        <v>1.35</v>
      </c>
      <c r="I278" s="31">
        <v>1.3</v>
      </c>
      <c r="J278" s="31">
        <v>1.0777000000000001</v>
      </c>
      <c r="K278" s="30">
        <f t="shared" si="43"/>
        <v>68772.91036478852</v>
      </c>
      <c r="L278" s="30">
        <f t="shared" ref="L278:L280" si="45">L277+K278</f>
        <v>186152.63140193853</v>
      </c>
    </row>
    <row r="279" spans="1:12" ht="30" customHeight="1" x14ac:dyDescent="0.2">
      <c r="A279" s="27" t="s">
        <v>1158</v>
      </c>
      <c r="B279" s="27"/>
      <c r="C279" s="27" t="s">
        <v>955</v>
      </c>
      <c r="D279" s="31">
        <f>D278+0.883</f>
        <v>1.4245000000000001</v>
      </c>
      <c r="E279" s="30">
        <v>95924</v>
      </c>
      <c r="F279" s="31">
        <v>1.2889999999999999</v>
      </c>
      <c r="G279" s="31">
        <v>1.22</v>
      </c>
      <c r="H279" s="31">
        <v>1.35</v>
      </c>
      <c r="I279" s="31">
        <v>1.3</v>
      </c>
      <c r="J279" s="31">
        <v>1.0777000000000001</v>
      </c>
      <c r="K279" s="30">
        <f t="shared" si="43"/>
        <v>285308.71128030494</v>
      </c>
      <c r="L279" s="30">
        <f t="shared" si="45"/>
        <v>471461.34268224344</v>
      </c>
    </row>
    <row r="280" spans="1:12" ht="30" customHeight="1" x14ac:dyDescent="0.2">
      <c r="A280" s="27" t="s">
        <v>1158</v>
      </c>
      <c r="B280" s="27"/>
      <c r="C280" s="27" t="s">
        <v>956</v>
      </c>
      <c r="D280" s="31">
        <f>D279+1.183</f>
        <v>2.6074999999999999</v>
      </c>
      <c r="E280" s="30">
        <v>95924</v>
      </c>
      <c r="F280" s="31">
        <v>1.2889999999999999</v>
      </c>
      <c r="G280" s="31">
        <v>1.22</v>
      </c>
      <c r="H280" s="31">
        <v>1.35</v>
      </c>
      <c r="I280" s="31">
        <v>1.3</v>
      </c>
      <c r="J280" s="31">
        <v>1.0777000000000001</v>
      </c>
      <c r="K280" s="30">
        <f t="shared" si="43"/>
        <v>285308.71128030494</v>
      </c>
      <c r="L280" s="30">
        <f t="shared" si="45"/>
        <v>756770.05396254838</v>
      </c>
    </row>
    <row r="281" spans="1:12" ht="30" customHeight="1" x14ac:dyDescent="0.2">
      <c r="A281" s="27" t="s">
        <v>1158</v>
      </c>
      <c r="B281" s="27"/>
      <c r="C281" s="27" t="s">
        <v>1161</v>
      </c>
      <c r="D281" s="31">
        <f>D280+1.783-0.3</f>
        <v>4.0904999999999996</v>
      </c>
      <c r="E281" s="30">
        <v>30661</v>
      </c>
      <c r="F281" s="31"/>
      <c r="G281" s="31"/>
      <c r="H281" s="31"/>
      <c r="I281" s="31">
        <v>1.3</v>
      </c>
      <c r="J281" s="31"/>
      <c r="K281" s="30">
        <f t="shared" si="43"/>
        <v>39859.300000000003</v>
      </c>
      <c r="L281" s="30">
        <f>L282+K281</f>
        <v>1081938.0652428532</v>
      </c>
    </row>
    <row r="282" spans="1:12" ht="30" customHeight="1" x14ac:dyDescent="0.2">
      <c r="A282" s="27" t="s">
        <v>1158</v>
      </c>
      <c r="B282" s="27"/>
      <c r="C282" s="27" t="s">
        <v>957</v>
      </c>
      <c r="D282" s="31">
        <f>D280+1.466</f>
        <v>4.0735000000000001</v>
      </c>
      <c r="E282" s="30">
        <v>95924</v>
      </c>
      <c r="F282" s="31">
        <v>1.2889999999999999</v>
      </c>
      <c r="G282" s="31">
        <v>1.22</v>
      </c>
      <c r="H282" s="31">
        <v>1.35</v>
      </c>
      <c r="I282" s="31">
        <v>1.3</v>
      </c>
      <c r="J282" s="31">
        <v>1.0777000000000001</v>
      </c>
      <c r="K282" s="30">
        <f t="shared" si="43"/>
        <v>285308.71128030494</v>
      </c>
      <c r="L282" s="30">
        <f t="shared" ref="L282:L283" si="46">L280+K282</f>
        <v>1042078.7652428533</v>
      </c>
    </row>
    <row r="283" spans="1:12" ht="30" customHeight="1" x14ac:dyDescent="0.2">
      <c r="A283" s="27" t="s">
        <v>1158</v>
      </c>
      <c r="B283" s="27"/>
      <c r="C283" s="27" t="s">
        <v>560</v>
      </c>
      <c r="D283" s="31">
        <f>D282+1.283</f>
        <v>5.3565000000000005</v>
      </c>
      <c r="E283" s="27">
        <v>404731</v>
      </c>
      <c r="F283" s="31"/>
      <c r="G283" s="31"/>
      <c r="H283" s="31"/>
      <c r="I283" s="31">
        <v>1.3</v>
      </c>
      <c r="J283" s="31"/>
      <c r="K283" s="30">
        <f t="shared" si="43"/>
        <v>526150.30000000005</v>
      </c>
      <c r="L283" s="30">
        <f t="shared" si="46"/>
        <v>1608088.3652428533</v>
      </c>
    </row>
    <row r="284" spans="1:12" ht="30" customHeight="1" x14ac:dyDescent="0.2">
      <c r="A284" s="27" t="s">
        <v>1158</v>
      </c>
      <c r="B284" s="27"/>
      <c r="C284" s="27" t="s">
        <v>1162</v>
      </c>
      <c r="D284" s="31">
        <f>D281+3</f>
        <v>7.0904999999999996</v>
      </c>
      <c r="E284" s="30">
        <v>30661</v>
      </c>
      <c r="F284" s="31"/>
      <c r="G284" s="31"/>
      <c r="H284" s="31"/>
      <c r="I284" s="31">
        <v>1.3</v>
      </c>
      <c r="J284" s="31"/>
      <c r="K284" s="30">
        <f t="shared" si="43"/>
        <v>39859.300000000003</v>
      </c>
      <c r="L284" s="30">
        <f>L285+K284</f>
        <v>1933256.3765231583</v>
      </c>
    </row>
    <row r="285" spans="1:12" ht="30" customHeight="1" x14ac:dyDescent="0.2">
      <c r="A285" s="27" t="s">
        <v>1158</v>
      </c>
      <c r="B285" s="27"/>
      <c r="C285" s="27" t="s">
        <v>958</v>
      </c>
      <c r="D285" s="31">
        <f>D284+D282-D281</f>
        <v>7.0735000000000001</v>
      </c>
      <c r="E285" s="30">
        <v>95924</v>
      </c>
      <c r="F285" s="31">
        <v>1.2889999999999999</v>
      </c>
      <c r="G285" s="31">
        <v>1.22</v>
      </c>
      <c r="H285" s="31">
        <v>1.35</v>
      </c>
      <c r="I285" s="31">
        <v>1.3</v>
      </c>
      <c r="J285" s="31">
        <v>1.0777000000000001</v>
      </c>
      <c r="K285" s="30">
        <f t="shared" si="43"/>
        <v>285308.71128030494</v>
      </c>
      <c r="L285" s="30">
        <f t="shared" ref="L285:L286" si="47">L283+K285</f>
        <v>1893397.0765231582</v>
      </c>
    </row>
    <row r="286" spans="1:12" ht="30" customHeight="1" x14ac:dyDescent="0.2">
      <c r="A286" s="27" t="s">
        <v>1158</v>
      </c>
      <c r="B286" s="27"/>
      <c r="C286" s="27" t="s">
        <v>959</v>
      </c>
      <c r="D286" s="31">
        <f>D285+1.183</f>
        <v>8.2565000000000008</v>
      </c>
      <c r="E286" s="30">
        <v>95924</v>
      </c>
      <c r="F286" s="31">
        <v>1.2889999999999999</v>
      </c>
      <c r="G286" s="31">
        <v>1.22</v>
      </c>
      <c r="H286" s="31">
        <v>1.35</v>
      </c>
      <c r="I286" s="31">
        <v>1.3</v>
      </c>
      <c r="J286" s="31">
        <v>1.0777000000000001</v>
      </c>
      <c r="K286" s="30">
        <f t="shared" si="43"/>
        <v>285308.71128030494</v>
      </c>
      <c r="L286" s="30">
        <f t="shared" si="47"/>
        <v>2218565.0878034635</v>
      </c>
    </row>
    <row r="287" spans="1:12" ht="30" customHeight="1" x14ac:dyDescent="0.2">
      <c r="A287" s="27" t="s">
        <v>1158</v>
      </c>
      <c r="B287" s="27"/>
      <c r="C287" s="27" t="s">
        <v>1163</v>
      </c>
      <c r="D287" s="31">
        <f>D286+0.483</f>
        <v>8.7395000000000014</v>
      </c>
      <c r="E287" s="30">
        <f>26983*1.15</f>
        <v>31030.449999999997</v>
      </c>
      <c r="F287" s="31"/>
      <c r="G287" s="31"/>
      <c r="H287" s="31">
        <v>1.35</v>
      </c>
      <c r="I287" s="31">
        <v>1.3</v>
      </c>
      <c r="J287" s="31">
        <v>1.0777000000000001</v>
      </c>
      <c r="K287" s="30">
        <f t="shared" si="43"/>
        <v>58689.860518575006</v>
      </c>
      <c r="L287" s="30">
        <f t="shared" ref="L287:L292" si="48">L286+K287</f>
        <v>2277254.9483220386</v>
      </c>
    </row>
    <row r="288" spans="1:12" ht="30" customHeight="1" x14ac:dyDescent="0.2">
      <c r="A288" s="27" t="s">
        <v>1158</v>
      </c>
      <c r="B288" s="27"/>
      <c r="C288" s="27" t="s">
        <v>1164</v>
      </c>
      <c r="D288" s="31">
        <f t="shared" ref="D288:D291" si="49">D287+0.5415</f>
        <v>9.2810000000000006</v>
      </c>
      <c r="E288" s="30">
        <v>25917</v>
      </c>
      <c r="F288" s="31">
        <v>1.1499999999999999</v>
      </c>
      <c r="G288" s="31">
        <v>1.22</v>
      </c>
      <c r="H288" s="31">
        <v>1.35</v>
      </c>
      <c r="I288" s="31">
        <v>1.3</v>
      </c>
      <c r="J288" s="31">
        <v>1.0777000000000001</v>
      </c>
      <c r="K288" s="30">
        <f t="shared" si="43"/>
        <v>68772.91036478852</v>
      </c>
      <c r="L288" s="30">
        <f t="shared" si="48"/>
        <v>2346027.8586868271</v>
      </c>
    </row>
    <row r="289" spans="1:12" ht="30" customHeight="1" x14ac:dyDescent="0.2">
      <c r="A289" s="27" t="s">
        <v>1158</v>
      </c>
      <c r="B289" s="27"/>
      <c r="C289" s="27" t="s">
        <v>1165</v>
      </c>
      <c r="D289" s="31">
        <f t="shared" si="49"/>
        <v>9.8224999999999998</v>
      </c>
      <c r="E289" s="30">
        <f>26983*1.15</f>
        <v>31030.449999999997</v>
      </c>
      <c r="F289" s="31"/>
      <c r="G289" s="31"/>
      <c r="H289" s="31">
        <v>1.35</v>
      </c>
      <c r="I289" s="31">
        <v>1.3</v>
      </c>
      <c r="J289" s="31">
        <v>1.0777000000000001</v>
      </c>
      <c r="K289" s="30">
        <f t="shared" si="43"/>
        <v>58689.860518575006</v>
      </c>
      <c r="L289" s="30">
        <f t="shared" si="48"/>
        <v>2404717.7192054023</v>
      </c>
    </row>
    <row r="290" spans="1:12" ht="30" customHeight="1" x14ac:dyDescent="0.2">
      <c r="A290" s="27" t="s">
        <v>1158</v>
      </c>
      <c r="B290" s="27"/>
      <c r="C290" s="27" t="s">
        <v>1166</v>
      </c>
      <c r="D290" s="31">
        <f t="shared" si="49"/>
        <v>10.363999999999999</v>
      </c>
      <c r="E290" s="30">
        <v>25917</v>
      </c>
      <c r="F290" s="31">
        <v>1.1499999999999999</v>
      </c>
      <c r="G290" s="31">
        <v>1.22</v>
      </c>
      <c r="H290" s="31">
        <v>1.35</v>
      </c>
      <c r="I290" s="31">
        <v>1.3</v>
      </c>
      <c r="J290" s="31">
        <v>1.0777000000000001</v>
      </c>
      <c r="K290" s="30">
        <f t="shared" si="43"/>
        <v>68772.91036478852</v>
      </c>
      <c r="L290" s="30">
        <f t="shared" si="48"/>
        <v>2473490.6295701908</v>
      </c>
    </row>
    <row r="291" spans="1:12" ht="30" customHeight="1" x14ac:dyDescent="0.2">
      <c r="A291" s="27" t="s">
        <v>1158</v>
      </c>
      <c r="B291" s="27"/>
      <c r="C291" s="27" t="s">
        <v>1167</v>
      </c>
      <c r="D291" s="31">
        <f t="shared" si="49"/>
        <v>10.905499999999998</v>
      </c>
      <c r="E291" s="30">
        <f>26983*1.15</f>
        <v>31030.449999999997</v>
      </c>
      <c r="F291" s="31"/>
      <c r="G291" s="31"/>
      <c r="H291" s="31">
        <v>1.35</v>
      </c>
      <c r="I291" s="31">
        <v>1.3</v>
      </c>
      <c r="J291" s="31">
        <v>1.0777000000000001</v>
      </c>
      <c r="K291" s="30">
        <f t="shared" si="43"/>
        <v>58689.860518575006</v>
      </c>
      <c r="L291" s="30">
        <f t="shared" si="48"/>
        <v>2532180.490088766</v>
      </c>
    </row>
    <row r="292" spans="1:12" ht="30" customHeight="1" x14ac:dyDescent="0.2">
      <c r="A292" s="27" t="s">
        <v>1158</v>
      </c>
      <c r="B292" s="27"/>
      <c r="C292" s="27" t="s">
        <v>960</v>
      </c>
      <c r="D292" s="31">
        <f>D291+0.883</f>
        <v>11.788499999999999</v>
      </c>
      <c r="E292" s="30">
        <v>95924</v>
      </c>
      <c r="F292" s="31">
        <v>1.2889999999999999</v>
      </c>
      <c r="G292" s="31">
        <v>1.22</v>
      </c>
      <c r="H292" s="31">
        <v>1.35</v>
      </c>
      <c r="I292" s="31">
        <v>1.3</v>
      </c>
      <c r="J292" s="31">
        <v>1.0777000000000001</v>
      </c>
      <c r="K292" s="30">
        <f t="shared" si="43"/>
        <v>285308.71128030494</v>
      </c>
      <c r="L292" s="30">
        <f t="shared" si="48"/>
        <v>2817489.2013690709</v>
      </c>
    </row>
    <row r="293" spans="1:12" ht="30" customHeight="1" x14ac:dyDescent="0.2">
      <c r="A293" s="27" t="s">
        <v>1158</v>
      </c>
      <c r="B293" s="27"/>
      <c r="C293" s="27" t="s">
        <v>1168</v>
      </c>
      <c r="D293" s="31">
        <f>D292+1.783-0.3</f>
        <v>13.271499999999998</v>
      </c>
      <c r="E293" s="30">
        <v>30661</v>
      </c>
      <c r="F293" s="31"/>
      <c r="G293" s="31"/>
      <c r="H293" s="31"/>
      <c r="I293" s="31">
        <v>1.3</v>
      </c>
      <c r="J293" s="31"/>
      <c r="K293" s="30">
        <f t="shared" si="43"/>
        <v>39859.300000000003</v>
      </c>
      <c r="L293" s="30">
        <f>L294+K293</f>
        <v>3142657.2126493757</v>
      </c>
    </row>
    <row r="294" spans="1:12" ht="30" customHeight="1" x14ac:dyDescent="0.2">
      <c r="A294" s="27" t="s">
        <v>1158</v>
      </c>
      <c r="B294" s="27"/>
      <c r="C294" s="27" t="s">
        <v>961</v>
      </c>
      <c r="D294" s="31">
        <f>D292+1.466</f>
        <v>13.254499999999998</v>
      </c>
      <c r="E294" s="30">
        <v>95924</v>
      </c>
      <c r="F294" s="31">
        <v>1.2889999999999999</v>
      </c>
      <c r="G294" s="31">
        <v>1.22</v>
      </c>
      <c r="H294" s="31">
        <v>1.35</v>
      </c>
      <c r="I294" s="31">
        <v>1.3</v>
      </c>
      <c r="J294" s="31">
        <v>1.0777000000000001</v>
      </c>
      <c r="K294" s="30">
        <f t="shared" si="43"/>
        <v>285308.71128030494</v>
      </c>
      <c r="L294" s="30">
        <f t="shared" ref="L294:L295" si="50">L292+K294</f>
        <v>3102797.9126493759</v>
      </c>
    </row>
    <row r="295" spans="1:12" ht="30" customHeight="1" x14ac:dyDescent="0.2">
      <c r="A295" s="27" t="s">
        <v>1158</v>
      </c>
      <c r="B295" s="27"/>
      <c r="C295" s="27" t="s">
        <v>1169</v>
      </c>
      <c r="D295" s="31">
        <f>D294+0.483</f>
        <v>13.737499999999999</v>
      </c>
      <c r="E295" s="30">
        <f>26983*1.15</f>
        <v>31030.449999999997</v>
      </c>
      <c r="F295" s="31"/>
      <c r="G295" s="31"/>
      <c r="H295" s="31">
        <v>1.35</v>
      </c>
      <c r="I295" s="31">
        <v>1.3</v>
      </c>
      <c r="J295" s="31">
        <v>1.0777000000000001</v>
      </c>
      <c r="K295" s="30">
        <f t="shared" si="43"/>
        <v>58689.860518575006</v>
      </c>
      <c r="L295" s="30">
        <f t="shared" si="50"/>
        <v>3201347.0731679508</v>
      </c>
    </row>
    <row r="296" spans="1:12" ht="30" customHeight="1" x14ac:dyDescent="0.2">
      <c r="A296" s="27" t="s">
        <v>1158</v>
      </c>
      <c r="B296" s="27"/>
      <c r="C296" s="27" t="s">
        <v>1170</v>
      </c>
      <c r="D296" s="31">
        <f t="shared" ref="D296:D299" si="51">D295+0.5415</f>
        <v>14.278999999999998</v>
      </c>
      <c r="E296" s="30">
        <v>25917</v>
      </c>
      <c r="F296" s="31">
        <v>1.1499999999999999</v>
      </c>
      <c r="G296" s="31">
        <v>1.22</v>
      </c>
      <c r="H296" s="31">
        <v>1.35</v>
      </c>
      <c r="I296" s="31">
        <v>1.3</v>
      </c>
      <c r="J296" s="31">
        <v>1.0777000000000001</v>
      </c>
      <c r="K296" s="30">
        <f t="shared" si="43"/>
        <v>68772.91036478852</v>
      </c>
      <c r="L296" s="30">
        <f t="shared" ref="L296:L300" si="52">L295+K296</f>
        <v>3270119.9835327393</v>
      </c>
    </row>
    <row r="297" spans="1:12" ht="30" customHeight="1" x14ac:dyDescent="0.2">
      <c r="A297" s="27" t="s">
        <v>1158</v>
      </c>
      <c r="B297" s="27"/>
      <c r="C297" s="27" t="s">
        <v>1171</v>
      </c>
      <c r="D297" s="31">
        <f t="shared" si="51"/>
        <v>14.820499999999997</v>
      </c>
      <c r="E297" s="30">
        <f>26983*1.15</f>
        <v>31030.449999999997</v>
      </c>
      <c r="F297" s="31"/>
      <c r="G297" s="31"/>
      <c r="H297" s="31">
        <v>1.35</v>
      </c>
      <c r="I297" s="31">
        <v>1.3</v>
      </c>
      <c r="J297" s="31">
        <v>1.0777000000000001</v>
      </c>
      <c r="K297" s="30">
        <f t="shared" si="43"/>
        <v>58689.860518575006</v>
      </c>
      <c r="L297" s="30">
        <f t="shared" si="52"/>
        <v>3328809.8440513145</v>
      </c>
    </row>
    <row r="298" spans="1:12" ht="30" customHeight="1" x14ac:dyDescent="0.2">
      <c r="A298" s="27" t="s">
        <v>1158</v>
      </c>
      <c r="B298" s="27"/>
      <c r="C298" s="27" t="s">
        <v>1172</v>
      </c>
      <c r="D298" s="31">
        <f t="shared" si="51"/>
        <v>15.361999999999997</v>
      </c>
      <c r="E298" s="30">
        <v>25917</v>
      </c>
      <c r="F298" s="31">
        <v>1.1499999999999999</v>
      </c>
      <c r="G298" s="31">
        <v>1.22</v>
      </c>
      <c r="H298" s="31">
        <v>1.35</v>
      </c>
      <c r="I298" s="31">
        <v>1.3</v>
      </c>
      <c r="J298" s="31">
        <v>1.0777000000000001</v>
      </c>
      <c r="K298" s="30">
        <f t="shared" si="43"/>
        <v>68772.91036478852</v>
      </c>
      <c r="L298" s="30">
        <f t="shared" si="52"/>
        <v>3397582.754416103</v>
      </c>
    </row>
    <row r="299" spans="1:12" ht="30" customHeight="1" x14ac:dyDescent="0.2">
      <c r="A299" s="27" t="s">
        <v>1158</v>
      </c>
      <c r="B299" s="27"/>
      <c r="C299" s="27" t="s">
        <v>1173</v>
      </c>
      <c r="D299" s="31">
        <f t="shared" si="51"/>
        <v>15.903499999999996</v>
      </c>
      <c r="E299" s="30">
        <f>26983*1.15</f>
        <v>31030.449999999997</v>
      </c>
      <c r="F299" s="31"/>
      <c r="G299" s="31"/>
      <c r="H299" s="31">
        <v>1.35</v>
      </c>
      <c r="I299" s="31">
        <v>1.3</v>
      </c>
      <c r="J299" s="31">
        <v>1.0777000000000001</v>
      </c>
      <c r="K299" s="30">
        <f t="shared" si="43"/>
        <v>58689.860518575006</v>
      </c>
      <c r="L299" s="30">
        <f t="shared" si="52"/>
        <v>3456272.6149346782</v>
      </c>
    </row>
    <row r="300" spans="1:12" ht="30" customHeight="1" x14ac:dyDescent="0.2">
      <c r="A300" s="27" t="s">
        <v>1158</v>
      </c>
      <c r="B300" s="27"/>
      <c r="C300" s="27" t="s">
        <v>962</v>
      </c>
      <c r="D300" s="31">
        <f>D299+0.883</f>
        <v>16.786499999999997</v>
      </c>
      <c r="E300" s="30">
        <v>95924</v>
      </c>
      <c r="F300" s="31">
        <v>1.2889999999999999</v>
      </c>
      <c r="G300" s="31">
        <v>1.22</v>
      </c>
      <c r="H300" s="31">
        <v>1.35</v>
      </c>
      <c r="I300" s="31">
        <v>1.3</v>
      </c>
      <c r="J300" s="31">
        <v>1.0777000000000001</v>
      </c>
      <c r="K300" s="30">
        <f t="shared" si="43"/>
        <v>285308.71128030494</v>
      </c>
      <c r="L300" s="30">
        <f t="shared" si="52"/>
        <v>3741581.3262149831</v>
      </c>
    </row>
    <row r="301" spans="1:12" ht="30" customHeight="1" x14ac:dyDescent="0.2">
      <c r="A301" s="27" t="s">
        <v>1158</v>
      </c>
      <c r="B301" s="27"/>
      <c r="C301" s="27" t="s">
        <v>1174</v>
      </c>
      <c r="D301" s="31">
        <f>D300+1.783-0.3</f>
        <v>18.269499999999997</v>
      </c>
      <c r="E301" s="30">
        <v>30661</v>
      </c>
      <c r="F301" s="31"/>
      <c r="G301" s="31"/>
      <c r="H301" s="31"/>
      <c r="I301" s="31">
        <v>1.3</v>
      </c>
      <c r="J301" s="31"/>
      <c r="K301" s="30">
        <f t="shared" si="43"/>
        <v>39859.300000000003</v>
      </c>
      <c r="L301" s="65">
        <f>L302+K301</f>
        <v>4066749.3374952879</v>
      </c>
    </row>
    <row r="302" spans="1:12" ht="30" customHeight="1" x14ac:dyDescent="0.2">
      <c r="A302" s="27" t="s">
        <v>1158</v>
      </c>
      <c r="B302" s="27"/>
      <c r="C302" s="27" t="s">
        <v>963</v>
      </c>
      <c r="D302" s="31">
        <f>D300+1.466</f>
        <v>18.252499999999998</v>
      </c>
      <c r="E302" s="30">
        <v>95924</v>
      </c>
      <c r="F302" s="31">
        <v>1.2889999999999999</v>
      </c>
      <c r="G302" s="31">
        <v>1.22</v>
      </c>
      <c r="H302" s="31">
        <v>1.35</v>
      </c>
      <c r="I302" s="31">
        <v>1.3</v>
      </c>
      <c r="J302" s="31">
        <v>1.0777000000000001</v>
      </c>
      <c r="K302" s="30">
        <f t="shared" si="43"/>
        <v>285308.71128030494</v>
      </c>
      <c r="L302" s="30">
        <f>L300+K302</f>
        <v>4026890.0374952881</v>
      </c>
    </row>
    <row r="303" spans="1:12" ht="30" customHeight="1" x14ac:dyDescent="0.2">
      <c r="A303" s="27" t="s">
        <v>1175</v>
      </c>
      <c r="B303" s="27"/>
      <c r="C303" s="27" t="s">
        <v>1159</v>
      </c>
      <c r="D303" s="31">
        <v>0</v>
      </c>
      <c r="E303" s="30">
        <f>25917*1.15</f>
        <v>29804.55</v>
      </c>
      <c r="F303" s="31">
        <v>2</v>
      </c>
      <c r="G303" s="31"/>
      <c r="H303" s="31">
        <v>1.35</v>
      </c>
      <c r="I303" s="31">
        <v>1.3</v>
      </c>
      <c r="J303" s="31">
        <v>1.0777000000000001</v>
      </c>
      <c r="K303" s="30">
        <f t="shared" si="43"/>
        <v>112742.47600785003</v>
      </c>
      <c r="L303" s="30">
        <f>K303</f>
        <v>112742.47600785003</v>
      </c>
    </row>
    <row r="304" spans="1:12" ht="30" customHeight="1" x14ac:dyDescent="0.2">
      <c r="A304" s="27" t="s">
        <v>1175</v>
      </c>
      <c r="B304" s="27"/>
      <c r="C304" s="27" t="s">
        <v>1176</v>
      </c>
      <c r="D304" s="31">
        <f>D303+0.5415</f>
        <v>0.54149999999999998</v>
      </c>
      <c r="E304" s="30">
        <v>35401</v>
      </c>
      <c r="F304" s="31"/>
      <c r="G304" s="31">
        <v>1.22</v>
      </c>
      <c r="H304" s="31">
        <v>1.35</v>
      </c>
      <c r="I304" s="31">
        <v>1.3</v>
      </c>
      <c r="J304" s="31"/>
      <c r="K304" s="30">
        <f t="shared" si="43"/>
        <v>75797.08110000001</v>
      </c>
      <c r="L304" s="30">
        <f t="shared" ref="L304:L306" si="53">L303+K304</f>
        <v>188539.55710785004</v>
      </c>
    </row>
    <row r="305" spans="1:12" ht="30" customHeight="1" x14ac:dyDescent="0.2">
      <c r="A305" s="27" t="s">
        <v>1175</v>
      </c>
      <c r="B305" s="27"/>
      <c r="C305" s="27" t="s">
        <v>955</v>
      </c>
      <c r="D305" s="31">
        <f>D304+0.883</f>
        <v>1.4245000000000001</v>
      </c>
      <c r="E305" s="30">
        <v>95924</v>
      </c>
      <c r="F305" s="31">
        <v>1.2889999999999999</v>
      </c>
      <c r="G305" s="31">
        <v>1.22</v>
      </c>
      <c r="H305" s="31">
        <v>1.35</v>
      </c>
      <c r="I305" s="31">
        <v>1.3</v>
      </c>
      <c r="J305" s="31">
        <v>1.0777000000000001</v>
      </c>
      <c r="K305" s="30">
        <f t="shared" si="43"/>
        <v>285308.71128030494</v>
      </c>
      <c r="L305" s="30">
        <f t="shared" si="53"/>
        <v>473848.26838815497</v>
      </c>
    </row>
    <row r="306" spans="1:12" ht="30" customHeight="1" x14ac:dyDescent="0.2">
      <c r="A306" s="27" t="s">
        <v>1175</v>
      </c>
      <c r="B306" s="27"/>
      <c r="C306" s="27" t="s">
        <v>956</v>
      </c>
      <c r="D306" s="31">
        <f>D305+1.183</f>
        <v>2.6074999999999999</v>
      </c>
      <c r="E306" s="30">
        <v>95924</v>
      </c>
      <c r="F306" s="31">
        <v>1.2889999999999999</v>
      </c>
      <c r="G306" s="31">
        <v>1.22</v>
      </c>
      <c r="H306" s="31">
        <v>1.35</v>
      </c>
      <c r="I306" s="31">
        <v>1.3</v>
      </c>
      <c r="J306" s="31">
        <v>1.0777000000000001</v>
      </c>
      <c r="K306" s="30">
        <f t="shared" si="43"/>
        <v>285308.71128030494</v>
      </c>
      <c r="L306" s="30">
        <f t="shared" si="53"/>
        <v>759156.97966845986</v>
      </c>
    </row>
    <row r="307" spans="1:12" ht="30" customHeight="1" x14ac:dyDescent="0.2">
      <c r="A307" s="27" t="s">
        <v>1175</v>
      </c>
      <c r="B307" s="27"/>
      <c r="C307" s="27" t="s">
        <v>1161</v>
      </c>
      <c r="D307" s="31">
        <f>D306+1.783-0.3</f>
        <v>4.0904999999999996</v>
      </c>
      <c r="E307" s="30">
        <v>30661</v>
      </c>
      <c r="F307" s="31"/>
      <c r="G307" s="31"/>
      <c r="H307" s="31"/>
      <c r="I307" s="31">
        <v>1.3</v>
      </c>
      <c r="J307" s="31"/>
      <c r="K307" s="30">
        <f t="shared" si="43"/>
        <v>39859.300000000003</v>
      </c>
      <c r="L307" s="30">
        <f>L308+K307</f>
        <v>1084324.9909487648</v>
      </c>
    </row>
    <row r="308" spans="1:12" ht="30" customHeight="1" x14ac:dyDescent="0.2">
      <c r="A308" s="27" t="s">
        <v>1175</v>
      </c>
      <c r="B308" s="27"/>
      <c r="C308" s="27" t="s">
        <v>957</v>
      </c>
      <c r="D308" s="31">
        <f>D306+1.466</f>
        <v>4.0735000000000001</v>
      </c>
      <c r="E308" s="30">
        <v>95924</v>
      </c>
      <c r="F308" s="31">
        <v>1.2889999999999999</v>
      </c>
      <c r="G308" s="31">
        <v>1.22</v>
      </c>
      <c r="H308" s="31">
        <v>1.35</v>
      </c>
      <c r="I308" s="31">
        <v>1.3</v>
      </c>
      <c r="J308" s="31">
        <v>1.0777000000000001</v>
      </c>
      <c r="K308" s="30">
        <f t="shared" si="43"/>
        <v>285308.71128030494</v>
      </c>
      <c r="L308" s="30">
        <f t="shared" ref="L308:L309" si="54">L306+K308</f>
        <v>1044465.6909487648</v>
      </c>
    </row>
    <row r="309" spans="1:12" ht="30" customHeight="1" x14ac:dyDescent="0.2">
      <c r="A309" s="27" t="s">
        <v>1175</v>
      </c>
      <c r="B309" s="27"/>
      <c r="C309" s="27" t="s">
        <v>560</v>
      </c>
      <c r="D309" s="31">
        <f>D308+1.283</f>
        <v>5.3565000000000005</v>
      </c>
      <c r="E309" s="27">
        <v>404731</v>
      </c>
      <c r="F309" s="31"/>
      <c r="G309" s="31"/>
      <c r="H309" s="31"/>
      <c r="I309" s="31">
        <v>1.3</v>
      </c>
      <c r="J309" s="31"/>
      <c r="K309" s="30">
        <f t="shared" si="43"/>
        <v>526150.30000000005</v>
      </c>
      <c r="L309" s="30">
        <f t="shared" si="54"/>
        <v>1610475.2909487649</v>
      </c>
    </row>
    <row r="310" spans="1:12" ht="30" customHeight="1" x14ac:dyDescent="0.2">
      <c r="A310" s="27" t="s">
        <v>1175</v>
      </c>
      <c r="B310" s="27"/>
      <c r="C310" s="27" t="s">
        <v>1162</v>
      </c>
      <c r="D310" s="31">
        <f>D307+3</f>
        <v>7.0904999999999996</v>
      </c>
      <c r="E310" s="30">
        <v>30661</v>
      </c>
      <c r="F310" s="31"/>
      <c r="G310" s="31"/>
      <c r="H310" s="31"/>
      <c r="I310" s="31">
        <v>1.3</v>
      </c>
      <c r="J310" s="31"/>
      <c r="K310" s="30">
        <f t="shared" si="43"/>
        <v>39859.300000000003</v>
      </c>
      <c r="L310" s="30">
        <f>L311+K310</f>
        <v>1935643.3022290699</v>
      </c>
    </row>
    <row r="311" spans="1:12" ht="30" customHeight="1" x14ac:dyDescent="0.2">
      <c r="A311" s="27" t="s">
        <v>1175</v>
      </c>
      <c r="B311" s="27"/>
      <c r="C311" s="27" t="s">
        <v>958</v>
      </c>
      <c r="D311" s="31">
        <f>D310+D308-D307</f>
        <v>7.0735000000000001</v>
      </c>
      <c r="E311" s="30">
        <v>95924</v>
      </c>
      <c r="F311" s="31">
        <v>1.2889999999999999</v>
      </c>
      <c r="G311" s="31">
        <v>1.22</v>
      </c>
      <c r="H311" s="31">
        <v>1.35</v>
      </c>
      <c r="I311" s="31">
        <v>1.3</v>
      </c>
      <c r="J311" s="31">
        <v>1.0777000000000001</v>
      </c>
      <c r="K311" s="30">
        <f t="shared" si="43"/>
        <v>285308.71128030494</v>
      </c>
      <c r="L311" s="30">
        <f t="shared" ref="L311:L312" si="55">L309+K311</f>
        <v>1895784.0022290698</v>
      </c>
    </row>
    <row r="312" spans="1:12" ht="30" customHeight="1" x14ac:dyDescent="0.2">
      <c r="A312" s="27" t="s">
        <v>1175</v>
      </c>
      <c r="B312" s="27"/>
      <c r="C312" s="27" t="s">
        <v>959</v>
      </c>
      <c r="D312" s="31">
        <f>D311+1.183</f>
        <v>8.2565000000000008</v>
      </c>
      <c r="E312" s="30">
        <v>95924</v>
      </c>
      <c r="F312" s="31">
        <v>1.2889999999999999</v>
      </c>
      <c r="G312" s="31">
        <v>1.22</v>
      </c>
      <c r="H312" s="31">
        <v>1.35</v>
      </c>
      <c r="I312" s="31">
        <v>1.3</v>
      </c>
      <c r="J312" s="31">
        <v>1.0777000000000001</v>
      </c>
      <c r="K312" s="30">
        <f t="shared" si="43"/>
        <v>285308.71128030494</v>
      </c>
      <c r="L312" s="30">
        <f t="shared" si="55"/>
        <v>2220952.013509375</v>
      </c>
    </row>
    <row r="313" spans="1:12" ht="30" customHeight="1" x14ac:dyDescent="0.2">
      <c r="A313" s="27" t="s">
        <v>1175</v>
      </c>
      <c r="B313" s="27"/>
      <c r="C313" s="27" t="s">
        <v>1177</v>
      </c>
      <c r="D313" s="31">
        <f>D312+0.483</f>
        <v>8.7395000000000014</v>
      </c>
      <c r="E313" s="30">
        <v>35401</v>
      </c>
      <c r="F313" s="31"/>
      <c r="G313" s="31">
        <v>1.22</v>
      </c>
      <c r="H313" s="31">
        <v>1.35</v>
      </c>
      <c r="I313" s="31">
        <v>1.3</v>
      </c>
      <c r="J313" s="31"/>
      <c r="K313" s="30">
        <f t="shared" si="43"/>
        <v>75797.08110000001</v>
      </c>
      <c r="L313" s="30">
        <f t="shared" ref="L313:L318" si="56">L312+K313</f>
        <v>2296749.0946093751</v>
      </c>
    </row>
    <row r="314" spans="1:12" ht="30" customHeight="1" x14ac:dyDescent="0.2">
      <c r="A314" s="27" t="s">
        <v>1175</v>
      </c>
      <c r="B314" s="27"/>
      <c r="C314" s="27" t="s">
        <v>1163</v>
      </c>
      <c r="D314" s="31">
        <f t="shared" ref="D314:D317" si="57">D313+0.5415</f>
        <v>9.2810000000000006</v>
      </c>
      <c r="E314" s="30">
        <f>25917*1.15</f>
        <v>29804.55</v>
      </c>
      <c r="F314" s="31"/>
      <c r="G314" s="31"/>
      <c r="H314" s="31">
        <v>1.35</v>
      </c>
      <c r="I314" s="31">
        <v>1.3</v>
      </c>
      <c r="J314" s="31">
        <v>1.0777000000000001</v>
      </c>
      <c r="K314" s="30">
        <f t="shared" si="43"/>
        <v>56371.238003925013</v>
      </c>
      <c r="L314" s="30">
        <f t="shared" si="56"/>
        <v>2353120.3326133001</v>
      </c>
    </row>
    <row r="315" spans="1:12" ht="30" customHeight="1" x14ac:dyDescent="0.2">
      <c r="A315" s="27" t="s">
        <v>1175</v>
      </c>
      <c r="B315" s="27"/>
      <c r="C315" s="27" t="s">
        <v>1178</v>
      </c>
      <c r="D315" s="31">
        <f t="shared" si="57"/>
        <v>9.8224999999999998</v>
      </c>
      <c r="E315" s="30">
        <v>35401</v>
      </c>
      <c r="F315" s="31"/>
      <c r="G315" s="31">
        <v>1.22</v>
      </c>
      <c r="H315" s="31">
        <v>1.35</v>
      </c>
      <c r="I315" s="31">
        <v>1.3</v>
      </c>
      <c r="J315" s="31"/>
      <c r="K315" s="30">
        <f t="shared" si="43"/>
        <v>75797.08110000001</v>
      </c>
      <c r="L315" s="30">
        <f t="shared" si="56"/>
        <v>2428917.4137133001</v>
      </c>
    </row>
    <row r="316" spans="1:12" ht="30" customHeight="1" x14ac:dyDescent="0.2">
      <c r="A316" s="27" t="s">
        <v>1175</v>
      </c>
      <c r="B316" s="27"/>
      <c r="C316" s="27" t="s">
        <v>1165</v>
      </c>
      <c r="D316" s="31">
        <f t="shared" si="57"/>
        <v>10.363999999999999</v>
      </c>
      <c r="E316" s="30">
        <f>25917*1.15</f>
        <v>29804.55</v>
      </c>
      <c r="F316" s="31"/>
      <c r="G316" s="31"/>
      <c r="H316" s="31">
        <v>1.35</v>
      </c>
      <c r="I316" s="31">
        <v>1.3</v>
      </c>
      <c r="J316" s="31">
        <v>1.0777000000000001</v>
      </c>
      <c r="K316" s="30">
        <f t="shared" si="43"/>
        <v>56371.238003925013</v>
      </c>
      <c r="L316" s="30">
        <f t="shared" si="56"/>
        <v>2485288.6517172251</v>
      </c>
    </row>
    <row r="317" spans="1:12" ht="30" customHeight="1" x14ac:dyDescent="0.2">
      <c r="A317" s="27" t="s">
        <v>1175</v>
      </c>
      <c r="B317" s="27"/>
      <c r="C317" s="27" t="s">
        <v>1179</v>
      </c>
      <c r="D317" s="31">
        <f t="shared" si="57"/>
        <v>10.905499999999998</v>
      </c>
      <c r="E317" s="30">
        <v>35401</v>
      </c>
      <c r="F317" s="31"/>
      <c r="G317" s="31">
        <v>1.22</v>
      </c>
      <c r="H317" s="31">
        <v>1.35</v>
      </c>
      <c r="I317" s="31">
        <v>1.3</v>
      </c>
      <c r="J317" s="31"/>
      <c r="K317" s="30">
        <f t="shared" si="43"/>
        <v>75797.08110000001</v>
      </c>
      <c r="L317" s="30">
        <f t="shared" si="56"/>
        <v>2561085.7328172252</v>
      </c>
    </row>
    <row r="318" spans="1:12" ht="30" customHeight="1" x14ac:dyDescent="0.2">
      <c r="A318" s="27" t="s">
        <v>1175</v>
      </c>
      <c r="B318" s="27"/>
      <c r="C318" s="27" t="s">
        <v>960</v>
      </c>
      <c r="D318" s="31">
        <f>D317+0.883</f>
        <v>11.788499999999999</v>
      </c>
      <c r="E318" s="30">
        <v>95924</v>
      </c>
      <c r="F318" s="31">
        <v>1.2889999999999999</v>
      </c>
      <c r="G318" s="31">
        <v>1.22</v>
      </c>
      <c r="H318" s="31">
        <v>1.35</v>
      </c>
      <c r="I318" s="31">
        <v>1.3</v>
      </c>
      <c r="J318" s="31">
        <v>1.0777000000000001</v>
      </c>
      <c r="K318" s="30">
        <f t="shared" si="43"/>
        <v>285308.71128030494</v>
      </c>
      <c r="L318" s="30">
        <f t="shared" si="56"/>
        <v>2846394.4440975301</v>
      </c>
    </row>
    <row r="319" spans="1:12" ht="30" customHeight="1" x14ac:dyDescent="0.2">
      <c r="A319" s="27" t="s">
        <v>1175</v>
      </c>
      <c r="B319" s="27"/>
      <c r="C319" s="27" t="s">
        <v>1168</v>
      </c>
      <c r="D319" s="31">
        <f>D318+1.783-0.3</f>
        <v>13.271499999999998</v>
      </c>
      <c r="E319" s="30">
        <v>30661</v>
      </c>
      <c r="F319" s="31"/>
      <c r="G319" s="31"/>
      <c r="H319" s="31"/>
      <c r="I319" s="31">
        <v>1.3</v>
      </c>
      <c r="J319" s="31"/>
      <c r="K319" s="30">
        <f t="shared" si="43"/>
        <v>39859.300000000003</v>
      </c>
      <c r="L319" s="30">
        <f>L320+K319</f>
        <v>3171562.4553778348</v>
      </c>
    </row>
    <row r="320" spans="1:12" ht="30" customHeight="1" x14ac:dyDescent="0.2">
      <c r="A320" s="27" t="s">
        <v>1175</v>
      </c>
      <c r="B320" s="27"/>
      <c r="C320" s="27" t="s">
        <v>961</v>
      </c>
      <c r="D320" s="31">
        <f>D318+1.466</f>
        <v>13.254499999999998</v>
      </c>
      <c r="E320" s="30">
        <v>95924</v>
      </c>
      <c r="F320" s="31">
        <v>1.2889999999999999</v>
      </c>
      <c r="G320" s="31">
        <v>1.22</v>
      </c>
      <c r="H320" s="31">
        <v>1.35</v>
      </c>
      <c r="I320" s="31">
        <v>1.3</v>
      </c>
      <c r="J320" s="31">
        <v>1.0777000000000001</v>
      </c>
      <c r="K320" s="30">
        <f t="shared" si="43"/>
        <v>285308.71128030494</v>
      </c>
      <c r="L320" s="30">
        <f t="shared" ref="L320:L321" si="58">L318+K320</f>
        <v>3131703.155377835</v>
      </c>
    </row>
    <row r="321" spans="1:12" ht="30" customHeight="1" x14ac:dyDescent="0.2">
      <c r="A321" s="27" t="s">
        <v>1175</v>
      </c>
      <c r="B321" s="27"/>
      <c r="C321" s="27" t="s">
        <v>1180</v>
      </c>
      <c r="D321" s="31">
        <f>D320+0.483</f>
        <v>13.737499999999999</v>
      </c>
      <c r="E321" s="30">
        <v>35401</v>
      </c>
      <c r="F321" s="31"/>
      <c r="G321" s="31">
        <v>1.22</v>
      </c>
      <c r="H321" s="31">
        <v>1.35</v>
      </c>
      <c r="I321" s="31">
        <v>1.3</v>
      </c>
      <c r="J321" s="31"/>
      <c r="K321" s="30">
        <f t="shared" si="43"/>
        <v>75797.08110000001</v>
      </c>
      <c r="L321" s="30">
        <f t="shared" si="58"/>
        <v>3247359.5364778349</v>
      </c>
    </row>
    <row r="322" spans="1:12" ht="30" customHeight="1" x14ac:dyDescent="0.2">
      <c r="A322" s="27" t="s">
        <v>1175</v>
      </c>
      <c r="B322" s="27"/>
      <c r="C322" s="27" t="s">
        <v>1167</v>
      </c>
      <c r="D322" s="31">
        <f t="shared" ref="D322:D325" si="59">D321+0.5415</f>
        <v>14.278999999999998</v>
      </c>
      <c r="E322" s="30">
        <f>25917*1.15</f>
        <v>29804.55</v>
      </c>
      <c r="F322" s="31"/>
      <c r="G322" s="31"/>
      <c r="H322" s="31">
        <v>1.35</v>
      </c>
      <c r="I322" s="31">
        <v>1.3</v>
      </c>
      <c r="J322" s="31">
        <v>1.0777000000000001</v>
      </c>
      <c r="K322" s="30">
        <f t="shared" si="43"/>
        <v>56371.238003925013</v>
      </c>
      <c r="L322" s="30">
        <f t="shared" ref="L322:L326" si="60">L321+K322</f>
        <v>3303730.7744817599</v>
      </c>
    </row>
    <row r="323" spans="1:12" ht="30" customHeight="1" x14ac:dyDescent="0.2">
      <c r="A323" s="27" t="s">
        <v>1175</v>
      </c>
      <c r="B323" s="27"/>
      <c r="C323" s="27" t="s">
        <v>1181</v>
      </c>
      <c r="D323" s="31">
        <f t="shared" si="59"/>
        <v>14.820499999999997</v>
      </c>
      <c r="E323" s="30">
        <v>35401</v>
      </c>
      <c r="F323" s="31"/>
      <c r="G323" s="31">
        <v>1.22</v>
      </c>
      <c r="H323" s="31">
        <v>1.35</v>
      </c>
      <c r="I323" s="31">
        <v>1.3</v>
      </c>
      <c r="J323" s="31"/>
      <c r="K323" s="30">
        <f t="shared" si="43"/>
        <v>75797.08110000001</v>
      </c>
      <c r="L323" s="30">
        <f t="shared" si="60"/>
        <v>3379527.8555817599</v>
      </c>
    </row>
    <row r="324" spans="1:12" ht="30" customHeight="1" x14ac:dyDescent="0.2">
      <c r="A324" s="27" t="s">
        <v>1175</v>
      </c>
      <c r="B324" s="27"/>
      <c r="C324" s="27" t="s">
        <v>1169</v>
      </c>
      <c r="D324" s="31">
        <f t="shared" si="59"/>
        <v>15.361999999999997</v>
      </c>
      <c r="E324" s="30">
        <f>25917*1.15</f>
        <v>29804.55</v>
      </c>
      <c r="F324" s="31"/>
      <c r="G324" s="31"/>
      <c r="H324" s="31">
        <v>1.35</v>
      </c>
      <c r="I324" s="31">
        <v>1.3</v>
      </c>
      <c r="J324" s="31">
        <v>1.0777000000000001</v>
      </c>
      <c r="K324" s="30">
        <f t="shared" si="43"/>
        <v>56371.238003925013</v>
      </c>
      <c r="L324" s="30">
        <f t="shared" si="60"/>
        <v>3435899.0935856849</v>
      </c>
    </row>
    <row r="325" spans="1:12" ht="30" customHeight="1" x14ac:dyDescent="0.2">
      <c r="A325" s="27" t="s">
        <v>1175</v>
      </c>
      <c r="B325" s="27"/>
      <c r="C325" s="27" t="s">
        <v>1182</v>
      </c>
      <c r="D325" s="31">
        <f t="shared" si="59"/>
        <v>15.903499999999996</v>
      </c>
      <c r="E325" s="30">
        <v>35401</v>
      </c>
      <c r="F325" s="31"/>
      <c r="G325" s="31">
        <v>1.22</v>
      </c>
      <c r="H325" s="31">
        <v>1.35</v>
      </c>
      <c r="I325" s="31">
        <v>1.3</v>
      </c>
      <c r="J325" s="31"/>
      <c r="K325" s="30">
        <f t="shared" si="43"/>
        <v>75797.08110000001</v>
      </c>
      <c r="L325" s="30">
        <f t="shared" si="60"/>
        <v>3511696.174685685</v>
      </c>
    </row>
    <row r="326" spans="1:12" ht="30" customHeight="1" x14ac:dyDescent="0.2">
      <c r="A326" s="27" t="s">
        <v>1175</v>
      </c>
      <c r="B326" s="27"/>
      <c r="C326" s="27" t="s">
        <v>962</v>
      </c>
      <c r="D326" s="31">
        <f>D325+0.883</f>
        <v>16.786499999999997</v>
      </c>
      <c r="E326" s="30">
        <v>95924</v>
      </c>
      <c r="F326" s="31">
        <v>1.2889999999999999</v>
      </c>
      <c r="G326" s="31">
        <v>1.22</v>
      </c>
      <c r="H326" s="31">
        <v>1.35</v>
      </c>
      <c r="I326" s="31">
        <v>1.3</v>
      </c>
      <c r="J326" s="31">
        <v>1.0777000000000001</v>
      </c>
      <c r="K326" s="30">
        <f t="shared" si="43"/>
        <v>285308.71128030494</v>
      </c>
      <c r="L326" s="30">
        <f t="shared" si="60"/>
        <v>3797004.8859659899</v>
      </c>
    </row>
    <row r="327" spans="1:12" ht="30" customHeight="1" x14ac:dyDescent="0.2">
      <c r="A327" s="27" t="s">
        <v>1175</v>
      </c>
      <c r="B327" s="27"/>
      <c r="C327" s="27" t="s">
        <v>1174</v>
      </c>
      <c r="D327" s="31">
        <f>D326+1.783-0.3</f>
        <v>18.269499999999997</v>
      </c>
      <c r="E327" s="30">
        <v>30661</v>
      </c>
      <c r="F327" s="31"/>
      <c r="G327" s="31"/>
      <c r="H327" s="31"/>
      <c r="I327" s="31">
        <v>1.3</v>
      </c>
      <c r="J327" s="31"/>
      <c r="K327" s="30">
        <f t="shared" si="43"/>
        <v>39859.300000000003</v>
      </c>
      <c r="L327" s="65">
        <f>L328+K327</f>
        <v>4122172.8972462947</v>
      </c>
    </row>
    <row r="328" spans="1:12" ht="30" customHeight="1" x14ac:dyDescent="0.2">
      <c r="A328" s="27" t="s">
        <v>1175</v>
      </c>
      <c r="B328" s="27"/>
      <c r="C328" s="27" t="s">
        <v>963</v>
      </c>
      <c r="D328" s="31">
        <f>D326+1.466</f>
        <v>18.252499999999998</v>
      </c>
      <c r="E328" s="30">
        <v>95924</v>
      </c>
      <c r="F328" s="31">
        <v>1.2889999999999999</v>
      </c>
      <c r="G328" s="31">
        <v>1.22</v>
      </c>
      <c r="H328" s="31">
        <v>1.35</v>
      </c>
      <c r="I328" s="31">
        <v>1.3</v>
      </c>
      <c r="J328" s="31">
        <v>1.0777000000000001</v>
      </c>
      <c r="K328" s="30">
        <f t="shared" si="43"/>
        <v>285308.71128030494</v>
      </c>
      <c r="L328" s="30">
        <f>L326+K328</f>
        <v>4082313.5972462948</v>
      </c>
    </row>
    <row r="329" spans="1:12" ht="30" customHeight="1" x14ac:dyDescent="0.2">
      <c r="A329" s="27" t="s">
        <v>1183</v>
      </c>
      <c r="B329" s="27"/>
      <c r="C329" s="27" t="s">
        <v>556</v>
      </c>
      <c r="D329" s="31">
        <v>0</v>
      </c>
      <c r="E329" s="30">
        <f>502166/1.22/1.25</f>
        <v>329289.1803278689</v>
      </c>
      <c r="F329" s="31"/>
      <c r="G329" s="31">
        <v>1.1000000000000001</v>
      </c>
      <c r="H329" s="31">
        <v>1.35</v>
      </c>
      <c r="I329" s="31">
        <v>1.3</v>
      </c>
      <c r="J329" s="31"/>
      <c r="K329" s="30">
        <f t="shared" si="43"/>
        <v>635692.76262295106</v>
      </c>
      <c r="L329" s="30">
        <f>K329</f>
        <v>635692.76262295106</v>
      </c>
    </row>
    <row r="330" spans="1:12" ht="30" customHeight="1" x14ac:dyDescent="0.2">
      <c r="A330" s="27" t="s">
        <v>1183</v>
      </c>
      <c r="B330" s="27"/>
      <c r="C330" s="27" t="s">
        <v>1184</v>
      </c>
      <c r="D330" s="31">
        <f>D329+0.816+0.35</f>
        <v>1.1659999999999999</v>
      </c>
      <c r="E330" s="30">
        <v>74154</v>
      </c>
      <c r="F330" s="31">
        <f>217355/74154</f>
        <v>2.931129810934002</v>
      </c>
      <c r="G330" s="31">
        <v>1.17</v>
      </c>
      <c r="H330" s="31">
        <f t="shared" ref="H330:H372" si="61">1.35</f>
        <v>1.35</v>
      </c>
      <c r="I330" s="31">
        <v>1.3</v>
      </c>
      <c r="J330" s="31"/>
      <c r="K330" s="30">
        <f t="shared" si="43"/>
        <v>446305.88925000001</v>
      </c>
      <c r="L330" s="30">
        <f t="shared" ref="L330:L372" si="62">L329+K330</f>
        <v>1081998.6518729511</v>
      </c>
    </row>
    <row r="331" spans="1:12" ht="30" customHeight="1" x14ac:dyDescent="0.2">
      <c r="A331" s="27" t="s">
        <v>1183</v>
      </c>
      <c r="B331" s="27"/>
      <c r="C331" s="27" t="s">
        <v>1160</v>
      </c>
      <c r="D331" s="31">
        <f>D330+0.316+0.183</f>
        <v>1.665</v>
      </c>
      <c r="E331" s="30">
        <v>25917</v>
      </c>
      <c r="F331" s="31">
        <f t="shared" ref="F331:F341" si="63">1.4*1.15</f>
        <v>1.6099999999999999</v>
      </c>
      <c r="G331" s="31">
        <v>1.17</v>
      </c>
      <c r="H331" s="31">
        <f t="shared" si="61"/>
        <v>1.35</v>
      </c>
      <c r="I331" s="31">
        <v>1.3</v>
      </c>
      <c r="J331" s="31">
        <v>1.0777000000000001</v>
      </c>
      <c r="K331" s="30">
        <f t="shared" si="43"/>
        <v>92336.087850429147</v>
      </c>
      <c r="L331" s="30">
        <f t="shared" si="62"/>
        <v>1174334.7397233802</v>
      </c>
    </row>
    <row r="332" spans="1:12" ht="30" customHeight="1" x14ac:dyDescent="0.2">
      <c r="A332" s="27" t="s">
        <v>1183</v>
      </c>
      <c r="B332" s="27"/>
      <c r="C332" s="27" t="s">
        <v>1185</v>
      </c>
      <c r="D332" s="31">
        <f t="shared" ref="D332:D341" si="64">D331+2.433/4</f>
        <v>2.27325</v>
      </c>
      <c r="E332" s="30">
        <f>25917*1.15</f>
        <v>29804.55</v>
      </c>
      <c r="F332" s="31">
        <f t="shared" si="63"/>
        <v>1.6099999999999999</v>
      </c>
      <c r="G332" s="31">
        <v>1.1000000000000001</v>
      </c>
      <c r="H332" s="31">
        <f t="shared" si="61"/>
        <v>1.35</v>
      </c>
      <c r="I332" s="31">
        <v>1.3</v>
      </c>
      <c r="J332" s="31">
        <v>1.0777000000000001</v>
      </c>
      <c r="K332" s="30">
        <f t="shared" si="43"/>
        <v>99833.462504951181</v>
      </c>
      <c r="L332" s="30">
        <f t="shared" si="62"/>
        <v>1274168.2022283315</v>
      </c>
    </row>
    <row r="333" spans="1:12" ht="30" customHeight="1" x14ac:dyDescent="0.2">
      <c r="A333" s="27" t="s">
        <v>1183</v>
      </c>
      <c r="B333" s="27"/>
      <c r="C333" s="27" t="s">
        <v>1164</v>
      </c>
      <c r="D333" s="31">
        <f t="shared" si="64"/>
        <v>2.8815</v>
      </c>
      <c r="E333" s="30">
        <v>25917</v>
      </c>
      <c r="F333" s="31">
        <f t="shared" si="63"/>
        <v>1.6099999999999999</v>
      </c>
      <c r="G333" s="31">
        <v>1.17</v>
      </c>
      <c r="H333" s="31">
        <f t="shared" si="61"/>
        <v>1.35</v>
      </c>
      <c r="I333" s="31">
        <v>1.3</v>
      </c>
      <c r="J333" s="31">
        <v>1.0777000000000001</v>
      </c>
      <c r="K333" s="30">
        <f t="shared" si="43"/>
        <v>92336.087850429147</v>
      </c>
      <c r="L333" s="30">
        <f t="shared" si="62"/>
        <v>1366504.2900787606</v>
      </c>
    </row>
    <row r="334" spans="1:12" ht="30" customHeight="1" x14ac:dyDescent="0.2">
      <c r="A334" s="27" t="s">
        <v>1183</v>
      </c>
      <c r="B334" s="27"/>
      <c r="C334" s="27" t="s">
        <v>1186</v>
      </c>
      <c r="D334" s="31">
        <f t="shared" si="64"/>
        <v>3.4897499999999999</v>
      </c>
      <c r="E334" s="30">
        <f>25917*1.15</f>
        <v>29804.55</v>
      </c>
      <c r="F334" s="31">
        <f t="shared" si="63"/>
        <v>1.6099999999999999</v>
      </c>
      <c r="G334" s="31">
        <v>1.1000000000000001</v>
      </c>
      <c r="H334" s="31">
        <f t="shared" si="61"/>
        <v>1.35</v>
      </c>
      <c r="I334" s="31">
        <v>1.3</v>
      </c>
      <c r="J334" s="31">
        <v>1.0777000000000001</v>
      </c>
      <c r="K334" s="30">
        <f t="shared" si="43"/>
        <v>99833.462504951181</v>
      </c>
      <c r="L334" s="30">
        <f t="shared" si="62"/>
        <v>1466337.7525837119</v>
      </c>
    </row>
    <row r="335" spans="1:12" ht="30" customHeight="1" x14ac:dyDescent="0.2">
      <c r="A335" s="27" t="s">
        <v>1183</v>
      </c>
      <c r="B335" s="27"/>
      <c r="C335" s="27" t="s">
        <v>1166</v>
      </c>
      <c r="D335" s="31">
        <f t="shared" si="64"/>
        <v>4.0979999999999999</v>
      </c>
      <c r="E335" s="30">
        <v>25917</v>
      </c>
      <c r="F335" s="31">
        <f t="shared" si="63"/>
        <v>1.6099999999999999</v>
      </c>
      <c r="G335" s="31">
        <v>1.17</v>
      </c>
      <c r="H335" s="31">
        <f t="shared" si="61"/>
        <v>1.35</v>
      </c>
      <c r="I335" s="31">
        <v>1.3</v>
      </c>
      <c r="J335" s="31">
        <v>1.0777000000000001</v>
      </c>
      <c r="K335" s="30">
        <f t="shared" si="43"/>
        <v>92336.087850429147</v>
      </c>
      <c r="L335" s="30">
        <f t="shared" si="62"/>
        <v>1558673.840434141</v>
      </c>
    </row>
    <row r="336" spans="1:12" ht="30" customHeight="1" x14ac:dyDescent="0.2">
      <c r="A336" s="27" t="s">
        <v>1183</v>
      </c>
      <c r="B336" s="27"/>
      <c r="C336" s="27" t="s">
        <v>1187</v>
      </c>
      <c r="D336" s="31">
        <f t="shared" si="64"/>
        <v>4.7062499999999998</v>
      </c>
      <c r="E336" s="30">
        <f>25917*1.15</f>
        <v>29804.55</v>
      </c>
      <c r="F336" s="31">
        <f t="shared" si="63"/>
        <v>1.6099999999999999</v>
      </c>
      <c r="G336" s="31">
        <v>1.1000000000000001</v>
      </c>
      <c r="H336" s="31">
        <f t="shared" si="61"/>
        <v>1.35</v>
      </c>
      <c r="I336" s="31">
        <v>1.3</v>
      </c>
      <c r="J336" s="31">
        <v>1.0777000000000001</v>
      </c>
      <c r="K336" s="30">
        <f t="shared" si="43"/>
        <v>99833.462504951181</v>
      </c>
      <c r="L336" s="30">
        <f t="shared" si="62"/>
        <v>1658507.3029390923</v>
      </c>
    </row>
    <row r="337" spans="1:12" ht="30" customHeight="1" x14ac:dyDescent="0.2">
      <c r="A337" s="27" t="s">
        <v>1183</v>
      </c>
      <c r="B337" s="27"/>
      <c r="C337" s="27" t="s">
        <v>1170</v>
      </c>
      <c r="D337" s="31">
        <f t="shared" si="64"/>
        <v>5.3144999999999998</v>
      </c>
      <c r="E337" s="30">
        <v>25917</v>
      </c>
      <c r="F337" s="31">
        <f t="shared" si="63"/>
        <v>1.6099999999999999</v>
      </c>
      <c r="G337" s="31">
        <v>1.17</v>
      </c>
      <c r="H337" s="31">
        <f t="shared" si="61"/>
        <v>1.35</v>
      </c>
      <c r="I337" s="31">
        <v>1.3</v>
      </c>
      <c r="J337" s="31">
        <v>1.0777000000000001</v>
      </c>
      <c r="K337" s="30">
        <f t="shared" si="43"/>
        <v>92336.087850429147</v>
      </c>
      <c r="L337" s="30">
        <f t="shared" si="62"/>
        <v>1750843.3907895214</v>
      </c>
    </row>
    <row r="338" spans="1:12" ht="30" customHeight="1" x14ac:dyDescent="0.2">
      <c r="A338" s="27" t="s">
        <v>1183</v>
      </c>
      <c r="B338" s="27"/>
      <c r="C338" s="27" t="s">
        <v>1188</v>
      </c>
      <c r="D338" s="31">
        <f t="shared" si="64"/>
        <v>5.9227499999999997</v>
      </c>
      <c r="E338" s="30">
        <f>25917*1.15</f>
        <v>29804.55</v>
      </c>
      <c r="F338" s="31">
        <f t="shared" si="63"/>
        <v>1.6099999999999999</v>
      </c>
      <c r="G338" s="31">
        <v>1.1000000000000001</v>
      </c>
      <c r="H338" s="31">
        <f t="shared" si="61"/>
        <v>1.35</v>
      </c>
      <c r="I338" s="31">
        <v>1.3</v>
      </c>
      <c r="J338" s="31">
        <v>1.0777000000000001</v>
      </c>
      <c r="K338" s="30">
        <f t="shared" si="43"/>
        <v>99833.462504951181</v>
      </c>
      <c r="L338" s="30">
        <f t="shared" si="62"/>
        <v>1850676.8532944727</v>
      </c>
    </row>
    <row r="339" spans="1:12" ht="30" customHeight="1" x14ac:dyDescent="0.2">
      <c r="A339" s="27" t="s">
        <v>1183</v>
      </c>
      <c r="B339" s="27"/>
      <c r="C339" s="27" t="s">
        <v>1172</v>
      </c>
      <c r="D339" s="31">
        <f t="shared" si="64"/>
        <v>6.5309999999999997</v>
      </c>
      <c r="E339" s="30">
        <v>25917</v>
      </c>
      <c r="F339" s="31">
        <f t="shared" si="63"/>
        <v>1.6099999999999999</v>
      </c>
      <c r="G339" s="31">
        <v>1.17</v>
      </c>
      <c r="H339" s="31">
        <f t="shared" si="61"/>
        <v>1.35</v>
      </c>
      <c r="I339" s="31">
        <v>1.3</v>
      </c>
      <c r="J339" s="31">
        <v>1.0777000000000001</v>
      </c>
      <c r="K339" s="30">
        <f t="shared" si="43"/>
        <v>92336.087850429147</v>
      </c>
      <c r="L339" s="30">
        <f t="shared" si="62"/>
        <v>1943012.9411449018</v>
      </c>
    </row>
    <row r="340" spans="1:12" ht="30" customHeight="1" x14ac:dyDescent="0.2">
      <c r="A340" s="27" t="s">
        <v>1183</v>
      </c>
      <c r="B340" s="27"/>
      <c r="C340" s="27" t="s">
        <v>1189</v>
      </c>
      <c r="D340" s="31">
        <f t="shared" si="64"/>
        <v>7.1392499999999997</v>
      </c>
      <c r="E340" s="30">
        <f>25917*1.15</f>
        <v>29804.55</v>
      </c>
      <c r="F340" s="31">
        <f t="shared" si="63"/>
        <v>1.6099999999999999</v>
      </c>
      <c r="G340" s="31">
        <v>1.1000000000000001</v>
      </c>
      <c r="H340" s="31">
        <f t="shared" si="61"/>
        <v>1.35</v>
      </c>
      <c r="I340" s="31">
        <v>1.3</v>
      </c>
      <c r="J340" s="31">
        <v>1.0777000000000001</v>
      </c>
      <c r="K340" s="30">
        <f t="shared" si="43"/>
        <v>99833.462504951181</v>
      </c>
      <c r="L340" s="30">
        <f t="shared" si="62"/>
        <v>2042846.4036498531</v>
      </c>
    </row>
    <row r="341" spans="1:12" ht="30" customHeight="1" x14ac:dyDescent="0.2">
      <c r="A341" s="27" t="s">
        <v>1183</v>
      </c>
      <c r="B341" s="27"/>
      <c r="C341" s="27" t="s">
        <v>1190</v>
      </c>
      <c r="D341" s="31">
        <f t="shared" si="64"/>
        <v>7.7474999999999996</v>
      </c>
      <c r="E341" s="30">
        <v>25917</v>
      </c>
      <c r="F341" s="31">
        <f t="shared" si="63"/>
        <v>1.6099999999999999</v>
      </c>
      <c r="G341" s="31">
        <v>1.17</v>
      </c>
      <c r="H341" s="31">
        <f t="shared" si="61"/>
        <v>1.35</v>
      </c>
      <c r="I341" s="31">
        <v>1.3</v>
      </c>
      <c r="J341" s="31">
        <v>1.0777000000000001</v>
      </c>
      <c r="K341" s="30">
        <f t="shared" si="43"/>
        <v>92336.087850429147</v>
      </c>
      <c r="L341" s="30">
        <f t="shared" si="62"/>
        <v>2135182.4915002822</v>
      </c>
    </row>
    <row r="342" spans="1:12" ht="30" customHeight="1" x14ac:dyDescent="0.2">
      <c r="A342" s="27" t="s">
        <v>1183</v>
      </c>
      <c r="B342" s="27"/>
      <c r="C342" s="27" t="s">
        <v>1191</v>
      </c>
      <c r="D342" s="31">
        <f>D341+0.3+0.35+0.55</f>
        <v>8.9474999999999998</v>
      </c>
      <c r="E342" s="30">
        <v>74154</v>
      </c>
      <c r="F342" s="31"/>
      <c r="G342" s="31">
        <v>1.17</v>
      </c>
      <c r="H342" s="31">
        <f t="shared" si="61"/>
        <v>1.35</v>
      </c>
      <c r="I342" s="31">
        <v>1.3</v>
      </c>
      <c r="J342" s="31"/>
      <c r="K342" s="30">
        <f t="shared" si="43"/>
        <v>152264.1159</v>
      </c>
      <c r="L342" s="30">
        <f t="shared" si="62"/>
        <v>2287446.6074002823</v>
      </c>
    </row>
    <row r="343" spans="1:12" ht="30" customHeight="1" x14ac:dyDescent="0.2">
      <c r="A343" s="27" t="s">
        <v>1183</v>
      </c>
      <c r="B343" s="27"/>
      <c r="C343" s="27" t="s">
        <v>1192</v>
      </c>
      <c r="D343" s="31">
        <f>D342+0.316+0.183</f>
        <v>9.4465000000000003</v>
      </c>
      <c r="E343" s="30">
        <v>25917</v>
      </c>
      <c r="F343" s="31">
        <f t="shared" ref="F343:F353" si="65">1.4*1.15</f>
        <v>1.6099999999999999</v>
      </c>
      <c r="G343" s="31">
        <v>1.17</v>
      </c>
      <c r="H343" s="31">
        <f t="shared" si="61"/>
        <v>1.35</v>
      </c>
      <c r="I343" s="31">
        <v>1.3</v>
      </c>
      <c r="J343" s="31">
        <v>1.0777000000000001</v>
      </c>
      <c r="K343" s="30">
        <f t="shared" si="43"/>
        <v>92336.087850429147</v>
      </c>
      <c r="L343" s="30">
        <f t="shared" si="62"/>
        <v>2379782.6952507114</v>
      </c>
    </row>
    <row r="344" spans="1:12" ht="30" customHeight="1" x14ac:dyDescent="0.2">
      <c r="A344" s="27" t="s">
        <v>1183</v>
      </c>
      <c r="B344" s="27"/>
      <c r="C344" s="27" t="s">
        <v>1193</v>
      </c>
      <c r="D344" s="31">
        <f t="shared" ref="D344:D353" si="66">D343+2.433/4</f>
        <v>10.05475</v>
      </c>
      <c r="E344" s="30">
        <f>25917*1.15</f>
        <v>29804.55</v>
      </c>
      <c r="F344" s="31">
        <f t="shared" si="65"/>
        <v>1.6099999999999999</v>
      </c>
      <c r="G344" s="31">
        <v>1.1000000000000001</v>
      </c>
      <c r="H344" s="31">
        <f t="shared" si="61"/>
        <v>1.35</v>
      </c>
      <c r="I344" s="31">
        <v>1.3</v>
      </c>
      <c r="J344" s="31">
        <v>1.0777000000000001</v>
      </c>
      <c r="K344" s="30">
        <f t="shared" si="43"/>
        <v>99833.462504951181</v>
      </c>
      <c r="L344" s="30">
        <f t="shared" si="62"/>
        <v>2479616.1577556627</v>
      </c>
    </row>
    <row r="345" spans="1:12" ht="30" customHeight="1" x14ac:dyDescent="0.2">
      <c r="A345" s="27" t="s">
        <v>1183</v>
      </c>
      <c r="B345" s="27"/>
      <c r="C345" s="27" t="s">
        <v>1194</v>
      </c>
      <c r="D345" s="31">
        <f t="shared" si="66"/>
        <v>10.663</v>
      </c>
      <c r="E345" s="30">
        <v>25917</v>
      </c>
      <c r="F345" s="31">
        <f t="shared" si="65"/>
        <v>1.6099999999999999</v>
      </c>
      <c r="G345" s="31">
        <v>1.17</v>
      </c>
      <c r="H345" s="31">
        <f t="shared" si="61"/>
        <v>1.35</v>
      </c>
      <c r="I345" s="31">
        <v>1.3</v>
      </c>
      <c r="J345" s="31">
        <v>1.0777000000000001</v>
      </c>
      <c r="K345" s="30">
        <f t="shared" si="43"/>
        <v>92336.087850429147</v>
      </c>
      <c r="L345" s="30">
        <f t="shared" si="62"/>
        <v>2571952.2456060918</v>
      </c>
    </row>
    <row r="346" spans="1:12" ht="30" customHeight="1" x14ac:dyDescent="0.2">
      <c r="A346" s="27" t="s">
        <v>1183</v>
      </c>
      <c r="B346" s="27"/>
      <c r="C346" s="27" t="s">
        <v>1195</v>
      </c>
      <c r="D346" s="31">
        <f t="shared" si="66"/>
        <v>11.27125</v>
      </c>
      <c r="E346" s="30">
        <f>25917*1.15</f>
        <v>29804.55</v>
      </c>
      <c r="F346" s="31">
        <f t="shared" si="65"/>
        <v>1.6099999999999999</v>
      </c>
      <c r="G346" s="31">
        <v>1.1000000000000001</v>
      </c>
      <c r="H346" s="31">
        <f t="shared" si="61"/>
        <v>1.35</v>
      </c>
      <c r="I346" s="31">
        <v>1.3</v>
      </c>
      <c r="J346" s="31">
        <v>1.0777000000000001</v>
      </c>
      <c r="K346" s="30">
        <f t="shared" si="43"/>
        <v>99833.462504951181</v>
      </c>
      <c r="L346" s="30">
        <f t="shared" si="62"/>
        <v>2671785.7081110431</v>
      </c>
    </row>
    <row r="347" spans="1:12" ht="30" customHeight="1" x14ac:dyDescent="0.2">
      <c r="A347" s="27" t="s">
        <v>1183</v>
      </c>
      <c r="B347" s="27"/>
      <c r="C347" s="27" t="s">
        <v>1196</v>
      </c>
      <c r="D347" s="31">
        <f t="shared" si="66"/>
        <v>11.8795</v>
      </c>
      <c r="E347" s="30">
        <v>25917</v>
      </c>
      <c r="F347" s="31">
        <f t="shared" si="65"/>
        <v>1.6099999999999999</v>
      </c>
      <c r="G347" s="31">
        <v>1.17</v>
      </c>
      <c r="H347" s="31">
        <f t="shared" si="61"/>
        <v>1.35</v>
      </c>
      <c r="I347" s="31">
        <v>1.3</v>
      </c>
      <c r="J347" s="31">
        <v>1.0777000000000001</v>
      </c>
      <c r="K347" s="30">
        <f t="shared" si="43"/>
        <v>92336.087850429147</v>
      </c>
      <c r="L347" s="30">
        <f t="shared" si="62"/>
        <v>2764121.7959614722</v>
      </c>
    </row>
    <row r="348" spans="1:12" ht="30" customHeight="1" x14ac:dyDescent="0.2">
      <c r="A348" s="27" t="s">
        <v>1183</v>
      </c>
      <c r="B348" s="27"/>
      <c r="C348" s="27" t="s">
        <v>1197</v>
      </c>
      <c r="D348" s="31">
        <f t="shared" si="66"/>
        <v>12.48775</v>
      </c>
      <c r="E348" s="30">
        <f>25917*1.15</f>
        <v>29804.55</v>
      </c>
      <c r="F348" s="31">
        <f t="shared" si="65"/>
        <v>1.6099999999999999</v>
      </c>
      <c r="G348" s="31">
        <v>1.1000000000000001</v>
      </c>
      <c r="H348" s="31">
        <f t="shared" si="61"/>
        <v>1.35</v>
      </c>
      <c r="I348" s="31">
        <v>1.3</v>
      </c>
      <c r="J348" s="31">
        <v>1.0777000000000001</v>
      </c>
      <c r="K348" s="30">
        <f t="shared" si="43"/>
        <v>99833.462504951181</v>
      </c>
      <c r="L348" s="30">
        <f t="shared" si="62"/>
        <v>2863955.2584664235</v>
      </c>
    </row>
    <row r="349" spans="1:12" ht="30" customHeight="1" x14ac:dyDescent="0.2">
      <c r="A349" s="27" t="s">
        <v>1183</v>
      </c>
      <c r="B349" s="27"/>
      <c r="C349" s="27" t="s">
        <v>1198</v>
      </c>
      <c r="D349" s="31">
        <f t="shared" si="66"/>
        <v>13.096</v>
      </c>
      <c r="E349" s="30">
        <v>25917</v>
      </c>
      <c r="F349" s="31">
        <f t="shared" si="65"/>
        <v>1.6099999999999999</v>
      </c>
      <c r="G349" s="31">
        <v>1.17</v>
      </c>
      <c r="H349" s="31">
        <f t="shared" si="61"/>
        <v>1.35</v>
      </c>
      <c r="I349" s="31">
        <v>1.3</v>
      </c>
      <c r="J349" s="31">
        <v>1.0777000000000001</v>
      </c>
      <c r="K349" s="30">
        <f t="shared" si="43"/>
        <v>92336.087850429147</v>
      </c>
      <c r="L349" s="30">
        <f t="shared" si="62"/>
        <v>2956291.3463168526</v>
      </c>
    </row>
    <row r="350" spans="1:12" ht="30" customHeight="1" x14ac:dyDescent="0.2">
      <c r="A350" s="27" t="s">
        <v>1183</v>
      </c>
      <c r="B350" s="27"/>
      <c r="C350" s="27" t="s">
        <v>1199</v>
      </c>
      <c r="D350" s="31">
        <f t="shared" si="66"/>
        <v>13.70425</v>
      </c>
      <c r="E350" s="30">
        <f>25917*1.15</f>
        <v>29804.55</v>
      </c>
      <c r="F350" s="31">
        <f t="shared" si="65"/>
        <v>1.6099999999999999</v>
      </c>
      <c r="G350" s="31">
        <v>1.1000000000000001</v>
      </c>
      <c r="H350" s="31">
        <f t="shared" si="61"/>
        <v>1.35</v>
      </c>
      <c r="I350" s="31">
        <v>1.3</v>
      </c>
      <c r="J350" s="31">
        <v>1.0777000000000001</v>
      </c>
      <c r="K350" s="30">
        <f t="shared" si="43"/>
        <v>99833.462504951181</v>
      </c>
      <c r="L350" s="30">
        <f t="shared" si="62"/>
        <v>3056124.8088218039</v>
      </c>
    </row>
    <row r="351" spans="1:12" ht="30" customHeight="1" x14ac:dyDescent="0.2">
      <c r="A351" s="27" t="s">
        <v>1183</v>
      </c>
      <c r="B351" s="27"/>
      <c r="C351" s="27" t="s">
        <v>1200</v>
      </c>
      <c r="D351" s="31">
        <f t="shared" si="66"/>
        <v>14.3125</v>
      </c>
      <c r="E351" s="30">
        <v>25917</v>
      </c>
      <c r="F351" s="31">
        <f t="shared" si="65"/>
        <v>1.6099999999999999</v>
      </c>
      <c r="G351" s="31">
        <v>1.17</v>
      </c>
      <c r="H351" s="31">
        <f t="shared" si="61"/>
        <v>1.35</v>
      </c>
      <c r="I351" s="31">
        <v>1.3</v>
      </c>
      <c r="J351" s="31">
        <v>1.0777000000000001</v>
      </c>
      <c r="K351" s="30">
        <f t="shared" si="43"/>
        <v>92336.087850429147</v>
      </c>
      <c r="L351" s="30">
        <f t="shared" si="62"/>
        <v>3148460.896672233</v>
      </c>
    </row>
    <row r="352" spans="1:12" ht="30" customHeight="1" x14ac:dyDescent="0.2">
      <c r="A352" s="27" t="s">
        <v>1183</v>
      </c>
      <c r="B352" s="27"/>
      <c r="C352" s="27" t="s">
        <v>1201</v>
      </c>
      <c r="D352" s="31">
        <f t="shared" si="66"/>
        <v>14.92075</v>
      </c>
      <c r="E352" s="30">
        <f>25917*1.15</f>
        <v>29804.55</v>
      </c>
      <c r="F352" s="31">
        <f t="shared" si="65"/>
        <v>1.6099999999999999</v>
      </c>
      <c r="G352" s="31">
        <v>1.1000000000000001</v>
      </c>
      <c r="H352" s="31">
        <f t="shared" si="61"/>
        <v>1.35</v>
      </c>
      <c r="I352" s="31">
        <v>1.3</v>
      </c>
      <c r="J352" s="31">
        <v>1.0777000000000001</v>
      </c>
      <c r="K352" s="30">
        <f t="shared" si="43"/>
        <v>99833.462504951181</v>
      </c>
      <c r="L352" s="30">
        <f t="shared" si="62"/>
        <v>3248294.3591771843</v>
      </c>
    </row>
    <row r="353" spans="1:12" ht="30" customHeight="1" x14ac:dyDescent="0.2">
      <c r="A353" s="27" t="s">
        <v>1183</v>
      </c>
      <c r="B353" s="27"/>
      <c r="C353" s="27" t="s">
        <v>1202</v>
      </c>
      <c r="D353" s="31">
        <f t="shared" si="66"/>
        <v>15.529</v>
      </c>
      <c r="E353" s="30">
        <v>25917</v>
      </c>
      <c r="F353" s="31">
        <f t="shared" si="65"/>
        <v>1.6099999999999999</v>
      </c>
      <c r="G353" s="31">
        <v>1.17</v>
      </c>
      <c r="H353" s="31">
        <f t="shared" si="61"/>
        <v>1.35</v>
      </c>
      <c r="I353" s="31">
        <v>1.3</v>
      </c>
      <c r="J353" s="31">
        <v>1.0777000000000001</v>
      </c>
      <c r="K353" s="30">
        <f t="shared" si="43"/>
        <v>92336.087850429147</v>
      </c>
      <c r="L353" s="30">
        <f t="shared" si="62"/>
        <v>3340630.4470276134</v>
      </c>
    </row>
    <row r="354" spans="1:12" ht="30" customHeight="1" x14ac:dyDescent="0.2">
      <c r="A354" s="27" t="s">
        <v>1183</v>
      </c>
      <c r="B354" s="27"/>
      <c r="C354" s="27" t="s">
        <v>1203</v>
      </c>
      <c r="D354" s="31">
        <f>D353+0.3+0.35+0.55</f>
        <v>16.729000000000003</v>
      </c>
      <c r="E354" s="30">
        <v>74154</v>
      </c>
      <c r="F354" s="31"/>
      <c r="G354" s="31">
        <v>1.17</v>
      </c>
      <c r="H354" s="31">
        <f t="shared" si="61"/>
        <v>1.35</v>
      </c>
      <c r="I354" s="31">
        <v>1.3</v>
      </c>
      <c r="J354" s="31"/>
      <c r="K354" s="30">
        <f t="shared" si="43"/>
        <v>152264.1159</v>
      </c>
      <c r="L354" s="30">
        <f t="shared" si="62"/>
        <v>3492894.5629276135</v>
      </c>
    </row>
    <row r="355" spans="1:12" ht="30" customHeight="1" x14ac:dyDescent="0.2">
      <c r="A355" s="27" t="s">
        <v>1183</v>
      </c>
      <c r="B355" s="27"/>
      <c r="C355" s="27" t="s">
        <v>1204</v>
      </c>
      <c r="D355" s="31">
        <f>D354+0.316+0.183</f>
        <v>17.228000000000002</v>
      </c>
      <c r="E355" s="30">
        <v>25917</v>
      </c>
      <c r="F355" s="31">
        <f t="shared" ref="F355:F365" si="67">1.4*1.15</f>
        <v>1.6099999999999999</v>
      </c>
      <c r="G355" s="31">
        <v>1.17</v>
      </c>
      <c r="H355" s="31">
        <f t="shared" si="61"/>
        <v>1.35</v>
      </c>
      <c r="I355" s="31">
        <v>1.3</v>
      </c>
      <c r="J355" s="31">
        <v>1.0777000000000001</v>
      </c>
      <c r="K355" s="30">
        <f t="shared" si="43"/>
        <v>92336.087850429147</v>
      </c>
      <c r="L355" s="30">
        <f t="shared" si="62"/>
        <v>3585230.6507780426</v>
      </c>
    </row>
    <row r="356" spans="1:12" ht="30" customHeight="1" x14ac:dyDescent="0.2">
      <c r="A356" s="27" t="s">
        <v>1183</v>
      </c>
      <c r="B356" s="27"/>
      <c r="C356" s="27" t="s">
        <v>1205</v>
      </c>
      <c r="D356" s="31">
        <f t="shared" ref="D356:D365" si="68">D355+2.433/4</f>
        <v>17.83625</v>
      </c>
      <c r="E356" s="30">
        <f>25917*1.15</f>
        <v>29804.55</v>
      </c>
      <c r="F356" s="31">
        <f t="shared" si="67"/>
        <v>1.6099999999999999</v>
      </c>
      <c r="G356" s="31">
        <v>1.1000000000000001</v>
      </c>
      <c r="H356" s="31">
        <f t="shared" si="61"/>
        <v>1.35</v>
      </c>
      <c r="I356" s="31">
        <v>1.3</v>
      </c>
      <c r="J356" s="31">
        <v>1.0777000000000001</v>
      </c>
      <c r="K356" s="30">
        <f t="shared" si="43"/>
        <v>99833.462504951181</v>
      </c>
      <c r="L356" s="30">
        <f t="shared" si="62"/>
        <v>3685064.1132829939</v>
      </c>
    </row>
    <row r="357" spans="1:12" ht="30" customHeight="1" x14ac:dyDescent="0.2">
      <c r="A357" s="27" t="s">
        <v>1183</v>
      </c>
      <c r="B357" s="27"/>
      <c r="C357" s="27" t="s">
        <v>1206</v>
      </c>
      <c r="D357" s="31">
        <f t="shared" si="68"/>
        <v>18.444499999999998</v>
      </c>
      <c r="E357" s="30">
        <v>25917</v>
      </c>
      <c r="F357" s="31">
        <f t="shared" si="67"/>
        <v>1.6099999999999999</v>
      </c>
      <c r="G357" s="31">
        <v>1.17</v>
      </c>
      <c r="H357" s="31">
        <f t="shared" si="61"/>
        <v>1.35</v>
      </c>
      <c r="I357" s="31">
        <v>1.3</v>
      </c>
      <c r="J357" s="31">
        <v>1.0777000000000001</v>
      </c>
      <c r="K357" s="30">
        <f t="shared" si="43"/>
        <v>92336.087850429147</v>
      </c>
      <c r="L357" s="30">
        <f t="shared" si="62"/>
        <v>3777400.201133423</v>
      </c>
    </row>
    <row r="358" spans="1:12" ht="30" customHeight="1" x14ac:dyDescent="0.2">
      <c r="A358" s="27" t="s">
        <v>1183</v>
      </c>
      <c r="B358" s="27"/>
      <c r="C358" s="27" t="s">
        <v>1207</v>
      </c>
      <c r="D358" s="31">
        <f t="shared" si="68"/>
        <v>19.052749999999996</v>
      </c>
      <c r="E358" s="30">
        <f>25917*1.15</f>
        <v>29804.55</v>
      </c>
      <c r="F358" s="31">
        <f t="shared" si="67"/>
        <v>1.6099999999999999</v>
      </c>
      <c r="G358" s="31">
        <v>1.1000000000000001</v>
      </c>
      <c r="H358" s="31">
        <f t="shared" si="61"/>
        <v>1.35</v>
      </c>
      <c r="I358" s="31">
        <v>1.3</v>
      </c>
      <c r="J358" s="31">
        <v>1.0777000000000001</v>
      </c>
      <c r="K358" s="30">
        <f t="shared" si="43"/>
        <v>99833.462504951181</v>
      </c>
      <c r="L358" s="30">
        <f t="shared" si="62"/>
        <v>3877233.6636383743</v>
      </c>
    </row>
    <row r="359" spans="1:12" ht="30" customHeight="1" x14ac:dyDescent="0.2">
      <c r="A359" s="27" t="s">
        <v>1183</v>
      </c>
      <c r="B359" s="27"/>
      <c r="C359" s="27" t="s">
        <v>1208</v>
      </c>
      <c r="D359" s="31">
        <f t="shared" si="68"/>
        <v>19.660999999999994</v>
      </c>
      <c r="E359" s="30">
        <v>25917</v>
      </c>
      <c r="F359" s="31">
        <f t="shared" si="67"/>
        <v>1.6099999999999999</v>
      </c>
      <c r="G359" s="31">
        <v>1.17</v>
      </c>
      <c r="H359" s="31">
        <f t="shared" si="61"/>
        <v>1.35</v>
      </c>
      <c r="I359" s="31">
        <v>1.3</v>
      </c>
      <c r="J359" s="31">
        <v>1.0777000000000001</v>
      </c>
      <c r="K359" s="30">
        <f t="shared" si="43"/>
        <v>92336.087850429147</v>
      </c>
      <c r="L359" s="30">
        <f t="shared" si="62"/>
        <v>3969569.7514888034</v>
      </c>
    </row>
    <row r="360" spans="1:12" ht="30" customHeight="1" x14ac:dyDescent="0.2">
      <c r="A360" s="27" t="s">
        <v>1183</v>
      </c>
      <c r="B360" s="27"/>
      <c r="C360" s="27" t="s">
        <v>1209</v>
      </c>
      <c r="D360" s="31">
        <f t="shared" si="68"/>
        <v>20.269249999999992</v>
      </c>
      <c r="E360" s="30">
        <f>25917*1.15</f>
        <v>29804.55</v>
      </c>
      <c r="F360" s="31">
        <f t="shared" si="67"/>
        <v>1.6099999999999999</v>
      </c>
      <c r="G360" s="31">
        <v>1.1000000000000001</v>
      </c>
      <c r="H360" s="31">
        <f t="shared" si="61"/>
        <v>1.35</v>
      </c>
      <c r="I360" s="31">
        <v>1.3</v>
      </c>
      <c r="J360" s="31">
        <v>1.0777000000000001</v>
      </c>
      <c r="K360" s="30">
        <f t="shared" si="43"/>
        <v>99833.462504951181</v>
      </c>
      <c r="L360" s="30">
        <f t="shared" si="62"/>
        <v>4069403.2139937547</v>
      </c>
    </row>
    <row r="361" spans="1:12" ht="30" customHeight="1" x14ac:dyDescent="0.2">
      <c r="A361" s="27" t="s">
        <v>1183</v>
      </c>
      <c r="B361" s="27"/>
      <c r="C361" s="27" t="s">
        <v>1210</v>
      </c>
      <c r="D361" s="31">
        <f t="shared" si="68"/>
        <v>20.877499999999991</v>
      </c>
      <c r="E361" s="30">
        <v>25917</v>
      </c>
      <c r="F361" s="31">
        <f t="shared" si="67"/>
        <v>1.6099999999999999</v>
      </c>
      <c r="G361" s="31">
        <v>1.17</v>
      </c>
      <c r="H361" s="31">
        <f t="shared" si="61"/>
        <v>1.35</v>
      </c>
      <c r="I361" s="31">
        <v>1.3</v>
      </c>
      <c r="J361" s="31">
        <v>1.0777000000000001</v>
      </c>
      <c r="K361" s="30">
        <f t="shared" si="43"/>
        <v>92336.087850429147</v>
      </c>
      <c r="L361" s="30">
        <f t="shared" si="62"/>
        <v>4161739.3018441838</v>
      </c>
    </row>
    <row r="362" spans="1:12" ht="30" customHeight="1" x14ac:dyDescent="0.2">
      <c r="A362" s="27" t="s">
        <v>1183</v>
      </c>
      <c r="B362" s="27"/>
      <c r="C362" s="27" t="s">
        <v>1211</v>
      </c>
      <c r="D362" s="31">
        <f t="shared" si="68"/>
        <v>21.485749999999989</v>
      </c>
      <c r="E362" s="30">
        <f>25917*1.15</f>
        <v>29804.55</v>
      </c>
      <c r="F362" s="31">
        <f t="shared" si="67"/>
        <v>1.6099999999999999</v>
      </c>
      <c r="G362" s="31">
        <v>1.1000000000000001</v>
      </c>
      <c r="H362" s="31">
        <f t="shared" si="61"/>
        <v>1.35</v>
      </c>
      <c r="I362" s="31">
        <v>1.3</v>
      </c>
      <c r="J362" s="31">
        <v>1.0777000000000001</v>
      </c>
      <c r="K362" s="30">
        <f t="shared" si="43"/>
        <v>99833.462504951181</v>
      </c>
      <c r="L362" s="30">
        <f t="shared" si="62"/>
        <v>4261572.7643491346</v>
      </c>
    </row>
    <row r="363" spans="1:12" ht="30" customHeight="1" x14ac:dyDescent="0.2">
      <c r="A363" s="27" t="s">
        <v>1183</v>
      </c>
      <c r="B363" s="27"/>
      <c r="C363" s="27" t="s">
        <v>1212</v>
      </c>
      <c r="D363" s="31">
        <f t="shared" si="68"/>
        <v>22.093999999999987</v>
      </c>
      <c r="E363" s="30">
        <v>25917</v>
      </c>
      <c r="F363" s="31">
        <f t="shared" si="67"/>
        <v>1.6099999999999999</v>
      </c>
      <c r="G363" s="31">
        <v>1.17</v>
      </c>
      <c r="H363" s="31">
        <f t="shared" si="61"/>
        <v>1.35</v>
      </c>
      <c r="I363" s="31">
        <v>1.3</v>
      </c>
      <c r="J363" s="31">
        <v>1.0777000000000001</v>
      </c>
      <c r="K363" s="30">
        <f t="shared" si="43"/>
        <v>92336.087850429147</v>
      </c>
      <c r="L363" s="30">
        <f t="shared" si="62"/>
        <v>4353908.8521995638</v>
      </c>
    </row>
    <row r="364" spans="1:12" ht="30" customHeight="1" x14ac:dyDescent="0.2">
      <c r="A364" s="27" t="s">
        <v>1183</v>
      </c>
      <c r="B364" s="27"/>
      <c r="C364" s="27" t="s">
        <v>1213</v>
      </c>
      <c r="D364" s="31">
        <f t="shared" si="68"/>
        <v>22.702249999999985</v>
      </c>
      <c r="E364" s="30">
        <f>25917*1.15</f>
        <v>29804.55</v>
      </c>
      <c r="F364" s="31">
        <f t="shared" si="67"/>
        <v>1.6099999999999999</v>
      </c>
      <c r="G364" s="31">
        <v>1.1000000000000001</v>
      </c>
      <c r="H364" s="31">
        <f t="shared" si="61"/>
        <v>1.35</v>
      </c>
      <c r="I364" s="31">
        <v>1.3</v>
      </c>
      <c r="J364" s="31">
        <v>1.0777000000000001</v>
      </c>
      <c r="K364" s="30">
        <f t="shared" si="43"/>
        <v>99833.462504951181</v>
      </c>
      <c r="L364" s="30">
        <f t="shared" si="62"/>
        <v>4453742.314704515</v>
      </c>
    </row>
    <row r="365" spans="1:12" ht="30" customHeight="1" x14ac:dyDescent="0.2">
      <c r="A365" s="27" t="s">
        <v>1183</v>
      </c>
      <c r="B365" s="27"/>
      <c r="C365" s="27" t="s">
        <v>1214</v>
      </c>
      <c r="D365" s="31">
        <f t="shared" si="68"/>
        <v>23.310499999999983</v>
      </c>
      <c r="E365" s="30">
        <v>25917</v>
      </c>
      <c r="F365" s="31">
        <f t="shared" si="67"/>
        <v>1.6099999999999999</v>
      </c>
      <c r="G365" s="31">
        <v>1.17</v>
      </c>
      <c r="H365" s="31">
        <f t="shared" si="61"/>
        <v>1.35</v>
      </c>
      <c r="I365" s="31">
        <v>1.3</v>
      </c>
      <c r="J365" s="31">
        <v>1.0777000000000001</v>
      </c>
      <c r="K365" s="30">
        <f t="shared" si="43"/>
        <v>92336.087850429147</v>
      </c>
      <c r="L365" s="30">
        <f t="shared" si="62"/>
        <v>4546078.4025549442</v>
      </c>
    </row>
    <row r="366" spans="1:12" ht="30" customHeight="1" x14ac:dyDescent="0.2">
      <c r="A366" s="27" t="s">
        <v>1183</v>
      </c>
      <c r="B366" s="27"/>
      <c r="C366" s="27" t="s">
        <v>1215</v>
      </c>
      <c r="D366" s="31">
        <f>D365+0.3+0.35+0.55</f>
        <v>24.510499999999986</v>
      </c>
      <c r="E366" s="30">
        <v>74154</v>
      </c>
      <c r="F366" s="31"/>
      <c r="G366" s="31">
        <v>1.17</v>
      </c>
      <c r="H366" s="31">
        <f t="shared" si="61"/>
        <v>1.35</v>
      </c>
      <c r="I366" s="31">
        <v>1.3</v>
      </c>
      <c r="J366" s="31"/>
      <c r="K366" s="30">
        <f t="shared" si="43"/>
        <v>152264.1159</v>
      </c>
      <c r="L366" s="30">
        <f t="shared" si="62"/>
        <v>4698342.5184549438</v>
      </c>
    </row>
    <row r="367" spans="1:12" ht="30" customHeight="1" x14ac:dyDescent="0.2">
      <c r="A367" s="27" t="s">
        <v>1183</v>
      </c>
      <c r="B367" s="27"/>
      <c r="C367" s="27" t="s">
        <v>1216</v>
      </c>
      <c r="D367" s="31">
        <f>D366+0.316+0.183</f>
        <v>25.009499999999985</v>
      </c>
      <c r="E367" s="30">
        <v>25917</v>
      </c>
      <c r="F367" s="31">
        <f t="shared" ref="F367:F372" si="69">1.4*1.15</f>
        <v>1.6099999999999999</v>
      </c>
      <c r="G367" s="31">
        <v>1.17</v>
      </c>
      <c r="H367" s="31">
        <f t="shared" si="61"/>
        <v>1.35</v>
      </c>
      <c r="I367" s="31">
        <v>1.3</v>
      </c>
      <c r="J367" s="31">
        <v>1.0777000000000001</v>
      </c>
      <c r="K367" s="30">
        <f t="shared" si="43"/>
        <v>92336.087850429147</v>
      </c>
      <c r="L367" s="30">
        <f t="shared" si="62"/>
        <v>4790678.6063053729</v>
      </c>
    </row>
    <row r="368" spans="1:12" ht="30" customHeight="1" x14ac:dyDescent="0.2">
      <c r="A368" s="27" t="s">
        <v>1183</v>
      </c>
      <c r="B368" s="27"/>
      <c r="C368" s="27" t="s">
        <v>1217</v>
      </c>
      <c r="D368" s="31">
        <f t="shared" ref="D368:D372" si="70">D367+2.433/4</f>
        <v>25.617749999999987</v>
      </c>
      <c r="E368" s="30">
        <f>25917*1.15</f>
        <v>29804.55</v>
      </c>
      <c r="F368" s="31">
        <f t="shared" si="69"/>
        <v>1.6099999999999999</v>
      </c>
      <c r="G368" s="31">
        <v>1.1000000000000001</v>
      </c>
      <c r="H368" s="31">
        <f t="shared" si="61"/>
        <v>1.35</v>
      </c>
      <c r="I368" s="31">
        <v>1.3</v>
      </c>
      <c r="J368" s="31">
        <v>1.0777000000000001</v>
      </c>
      <c r="K368" s="30">
        <f t="shared" si="43"/>
        <v>99833.462504951181</v>
      </c>
      <c r="L368" s="30">
        <f t="shared" si="62"/>
        <v>4890512.0688103242</v>
      </c>
    </row>
    <row r="369" spans="1:12" ht="30" customHeight="1" x14ac:dyDescent="0.2">
      <c r="A369" s="27" t="s">
        <v>1183</v>
      </c>
      <c r="B369" s="27"/>
      <c r="C369" s="27" t="s">
        <v>1218</v>
      </c>
      <c r="D369" s="31">
        <f t="shared" si="70"/>
        <v>26.225999999999985</v>
      </c>
      <c r="E369" s="30">
        <v>25917</v>
      </c>
      <c r="F369" s="31">
        <f t="shared" si="69"/>
        <v>1.6099999999999999</v>
      </c>
      <c r="G369" s="31">
        <v>1.17</v>
      </c>
      <c r="H369" s="31">
        <f t="shared" si="61"/>
        <v>1.35</v>
      </c>
      <c r="I369" s="31">
        <v>1.3</v>
      </c>
      <c r="J369" s="31">
        <v>1.0777000000000001</v>
      </c>
      <c r="K369" s="30">
        <f t="shared" si="43"/>
        <v>92336.087850429147</v>
      </c>
      <c r="L369" s="30">
        <f t="shared" si="62"/>
        <v>4982848.1566607533</v>
      </c>
    </row>
    <row r="370" spans="1:12" ht="30" customHeight="1" x14ac:dyDescent="0.2">
      <c r="A370" s="27" t="s">
        <v>1183</v>
      </c>
      <c r="B370" s="27"/>
      <c r="C370" s="27" t="s">
        <v>1219</v>
      </c>
      <c r="D370" s="31">
        <f t="shared" si="70"/>
        <v>26.834249999999983</v>
      </c>
      <c r="E370" s="30">
        <f>25917*1.15</f>
        <v>29804.55</v>
      </c>
      <c r="F370" s="31">
        <f t="shared" si="69"/>
        <v>1.6099999999999999</v>
      </c>
      <c r="G370" s="31">
        <v>1.1000000000000001</v>
      </c>
      <c r="H370" s="31">
        <f t="shared" si="61"/>
        <v>1.35</v>
      </c>
      <c r="I370" s="31">
        <v>1.3</v>
      </c>
      <c r="J370" s="31">
        <v>1.0777000000000001</v>
      </c>
      <c r="K370" s="30">
        <f t="shared" si="43"/>
        <v>99833.462504951181</v>
      </c>
      <c r="L370" s="30">
        <f t="shared" si="62"/>
        <v>5082681.6191657046</v>
      </c>
    </row>
    <row r="371" spans="1:12" ht="30" customHeight="1" x14ac:dyDescent="0.2">
      <c r="A371" s="27" t="s">
        <v>1183</v>
      </c>
      <c r="B371" s="27"/>
      <c r="C371" s="27" t="s">
        <v>1220</v>
      </c>
      <c r="D371" s="31">
        <f t="shared" si="70"/>
        <v>27.442499999999981</v>
      </c>
      <c r="E371" s="30">
        <v>25917</v>
      </c>
      <c r="F371" s="31">
        <f t="shared" si="69"/>
        <v>1.6099999999999999</v>
      </c>
      <c r="G371" s="31">
        <v>1.17</v>
      </c>
      <c r="H371" s="31">
        <f t="shared" si="61"/>
        <v>1.35</v>
      </c>
      <c r="I371" s="31">
        <v>1.3</v>
      </c>
      <c r="J371" s="31">
        <v>1.0777000000000001</v>
      </c>
      <c r="K371" s="30">
        <f t="shared" si="43"/>
        <v>92336.087850429147</v>
      </c>
      <c r="L371" s="30">
        <f t="shared" si="62"/>
        <v>5175017.7070161337</v>
      </c>
    </row>
    <row r="372" spans="1:12" ht="30" customHeight="1" x14ac:dyDescent="0.2">
      <c r="A372" s="27" t="s">
        <v>1183</v>
      </c>
      <c r="B372" s="27"/>
      <c r="C372" s="27" t="s">
        <v>1221</v>
      </c>
      <c r="D372" s="31">
        <f t="shared" si="70"/>
        <v>28.050749999999979</v>
      </c>
      <c r="E372" s="30">
        <f>25917*1.15</f>
        <v>29804.55</v>
      </c>
      <c r="F372" s="31">
        <f t="shared" si="69"/>
        <v>1.6099999999999999</v>
      </c>
      <c r="G372" s="31">
        <v>1.1000000000000001</v>
      </c>
      <c r="H372" s="31">
        <f t="shared" si="61"/>
        <v>1.35</v>
      </c>
      <c r="I372" s="31">
        <v>1.3</v>
      </c>
      <c r="J372" s="31">
        <v>1.0777000000000001</v>
      </c>
      <c r="K372" s="30">
        <f t="shared" si="43"/>
        <v>99833.462504951181</v>
      </c>
      <c r="L372" s="65">
        <f t="shared" si="62"/>
        <v>5274851.169521085</v>
      </c>
    </row>
    <row r="373" spans="1:12" ht="30" customHeight="1" x14ac:dyDescent="0.2">
      <c r="A373" s="27" t="s">
        <v>1222</v>
      </c>
      <c r="B373" s="27"/>
      <c r="C373" s="27" t="s">
        <v>1223</v>
      </c>
      <c r="D373" s="31">
        <v>0.35</v>
      </c>
      <c r="E373" s="30">
        <v>71544</v>
      </c>
      <c r="F373" s="31"/>
      <c r="G373" s="31">
        <v>1.22</v>
      </c>
      <c r="H373" s="31">
        <v>1.35</v>
      </c>
      <c r="I373" s="31">
        <v>1.3</v>
      </c>
      <c r="J373" s="31"/>
      <c r="K373" s="30">
        <f t="shared" si="43"/>
        <v>153182.8584</v>
      </c>
      <c r="L373" s="30">
        <f>K373</f>
        <v>153182.8584</v>
      </c>
    </row>
    <row r="374" spans="1:12" ht="30" customHeight="1" x14ac:dyDescent="0.2">
      <c r="A374" s="27" t="s">
        <v>1222</v>
      </c>
      <c r="B374" s="27"/>
      <c r="C374" s="27" t="s">
        <v>1185</v>
      </c>
      <c r="D374" s="31">
        <f>D373+0.234</f>
        <v>0.58399999999999996</v>
      </c>
      <c r="E374" s="30">
        <f>26982*1.15</f>
        <v>31029.3</v>
      </c>
      <c r="F374" s="31">
        <v>1.1499999999999999</v>
      </c>
      <c r="G374" s="31"/>
      <c r="H374" s="31">
        <v>1.35</v>
      </c>
      <c r="I374" s="31">
        <v>1.3</v>
      </c>
      <c r="J374" s="31">
        <v>1.0777000000000001</v>
      </c>
      <c r="K374" s="30">
        <f t="shared" si="43"/>
        <v>67490.838268132517</v>
      </c>
      <c r="L374" s="30">
        <f t="shared" ref="L374:L418" si="71">L373+K374</f>
        <v>220673.6966681325</v>
      </c>
    </row>
    <row r="375" spans="1:12" ht="30" customHeight="1" x14ac:dyDescent="0.2">
      <c r="A375" s="27" t="s">
        <v>1222</v>
      </c>
      <c r="B375" s="27"/>
      <c r="C375" s="27" t="s">
        <v>1160</v>
      </c>
      <c r="D375" s="31">
        <f t="shared" ref="D375:D377" si="72">D374+0.5415</f>
        <v>1.1254999999999999</v>
      </c>
      <c r="E375" s="30">
        <v>25917</v>
      </c>
      <c r="F375" s="31">
        <v>1.1499999999999999</v>
      </c>
      <c r="G375" s="31">
        <v>1.22</v>
      </c>
      <c r="H375" s="31">
        <v>1.35</v>
      </c>
      <c r="I375" s="31">
        <v>1.3</v>
      </c>
      <c r="J375" s="31">
        <v>1.0777000000000001</v>
      </c>
      <c r="K375" s="30">
        <f t="shared" si="43"/>
        <v>68772.91036478852</v>
      </c>
      <c r="L375" s="30">
        <f t="shared" si="71"/>
        <v>289446.60703292105</v>
      </c>
    </row>
    <row r="376" spans="1:12" ht="30" customHeight="1" x14ac:dyDescent="0.2">
      <c r="A376" s="27" t="s">
        <v>1222</v>
      </c>
      <c r="B376" s="27"/>
      <c r="C376" s="27" t="s">
        <v>1186</v>
      </c>
      <c r="D376" s="31">
        <f t="shared" si="72"/>
        <v>1.6669999999999998</v>
      </c>
      <c r="E376" s="30">
        <f>26982*1.15</f>
        <v>31029.3</v>
      </c>
      <c r="F376" s="31">
        <v>1.1499999999999999</v>
      </c>
      <c r="G376" s="31"/>
      <c r="H376" s="31">
        <v>1.35</v>
      </c>
      <c r="I376" s="31">
        <v>1.3</v>
      </c>
      <c r="J376" s="31">
        <v>1.0777000000000001</v>
      </c>
      <c r="K376" s="30">
        <f t="shared" si="43"/>
        <v>67490.838268132517</v>
      </c>
      <c r="L376" s="30">
        <f t="shared" si="71"/>
        <v>356937.44530105358</v>
      </c>
    </row>
    <row r="377" spans="1:12" ht="30" customHeight="1" x14ac:dyDescent="0.2">
      <c r="A377" s="27" t="s">
        <v>1222</v>
      </c>
      <c r="B377" s="27"/>
      <c r="C377" s="27" t="s">
        <v>1164</v>
      </c>
      <c r="D377" s="31">
        <f t="shared" si="72"/>
        <v>2.2084999999999999</v>
      </c>
      <c r="E377" s="30">
        <v>25917</v>
      </c>
      <c r="F377" s="31">
        <v>1.1499999999999999</v>
      </c>
      <c r="G377" s="31">
        <v>1.22</v>
      </c>
      <c r="H377" s="31">
        <v>1.35</v>
      </c>
      <c r="I377" s="31">
        <v>1.3</v>
      </c>
      <c r="J377" s="31">
        <v>1.0777000000000001</v>
      </c>
      <c r="K377" s="30">
        <f t="shared" si="43"/>
        <v>68772.91036478852</v>
      </c>
      <c r="L377" s="30">
        <f t="shared" si="71"/>
        <v>425710.35566584207</v>
      </c>
    </row>
    <row r="378" spans="1:12" ht="30" customHeight="1" x14ac:dyDescent="0.2">
      <c r="A378" s="27" t="s">
        <v>1222</v>
      </c>
      <c r="B378" s="27"/>
      <c r="C378" s="27" t="s">
        <v>1224</v>
      </c>
      <c r="D378" s="31">
        <f>D377+0.983</f>
        <v>3.1915</v>
      </c>
      <c r="E378" s="30">
        <v>71544</v>
      </c>
      <c r="F378" s="31"/>
      <c r="G378" s="31">
        <v>1.22</v>
      </c>
      <c r="H378" s="31">
        <v>1.35</v>
      </c>
      <c r="I378" s="31">
        <v>1.3</v>
      </c>
      <c r="J378" s="31"/>
      <c r="K378" s="30">
        <f t="shared" si="43"/>
        <v>153182.8584</v>
      </c>
      <c r="L378" s="30">
        <f t="shared" si="71"/>
        <v>578893.2140658421</v>
      </c>
    </row>
    <row r="379" spans="1:12" ht="30" customHeight="1" x14ac:dyDescent="0.2">
      <c r="A379" s="27" t="s">
        <v>1222</v>
      </c>
      <c r="B379" s="27"/>
      <c r="C379" s="27" t="s">
        <v>1187</v>
      </c>
      <c r="D379" s="31">
        <f>D378+0.234</f>
        <v>3.4255</v>
      </c>
      <c r="E379" s="30">
        <f>26982*1.15</f>
        <v>31029.3</v>
      </c>
      <c r="F379" s="31">
        <v>1.1499999999999999</v>
      </c>
      <c r="G379" s="31"/>
      <c r="H379" s="31">
        <v>1.35</v>
      </c>
      <c r="I379" s="31">
        <v>1.3</v>
      </c>
      <c r="J379" s="31">
        <v>1.0777000000000001</v>
      </c>
      <c r="K379" s="30">
        <f t="shared" si="43"/>
        <v>67490.838268132517</v>
      </c>
      <c r="L379" s="30">
        <f t="shared" si="71"/>
        <v>646384.05233397463</v>
      </c>
    </row>
    <row r="380" spans="1:12" ht="30" customHeight="1" x14ac:dyDescent="0.2">
      <c r="A380" s="27" t="s">
        <v>1222</v>
      </c>
      <c r="B380" s="27"/>
      <c r="C380" s="27" t="s">
        <v>1166</v>
      </c>
      <c r="D380" s="31">
        <f t="shared" ref="D380:D382" si="73">D379+0.5415</f>
        <v>3.9670000000000001</v>
      </c>
      <c r="E380" s="30">
        <v>25917</v>
      </c>
      <c r="F380" s="31">
        <v>1.1499999999999999</v>
      </c>
      <c r="G380" s="31">
        <v>1.22</v>
      </c>
      <c r="H380" s="31">
        <v>1.35</v>
      </c>
      <c r="I380" s="31">
        <v>1.3</v>
      </c>
      <c r="J380" s="31">
        <v>1.0777000000000001</v>
      </c>
      <c r="K380" s="30">
        <f t="shared" si="43"/>
        <v>68772.91036478852</v>
      </c>
      <c r="L380" s="30">
        <f t="shared" si="71"/>
        <v>715156.96269876312</v>
      </c>
    </row>
    <row r="381" spans="1:12" ht="30" customHeight="1" x14ac:dyDescent="0.2">
      <c r="A381" s="27" t="s">
        <v>1222</v>
      </c>
      <c r="B381" s="27"/>
      <c r="C381" s="27" t="s">
        <v>1188</v>
      </c>
      <c r="D381" s="31">
        <f t="shared" si="73"/>
        <v>4.5084999999999997</v>
      </c>
      <c r="E381" s="30">
        <f>26982*1.15</f>
        <v>31029.3</v>
      </c>
      <c r="F381" s="31">
        <v>1.1499999999999999</v>
      </c>
      <c r="G381" s="31"/>
      <c r="H381" s="31">
        <v>1.35</v>
      </c>
      <c r="I381" s="31">
        <v>1.3</v>
      </c>
      <c r="J381" s="31">
        <v>1.0777000000000001</v>
      </c>
      <c r="K381" s="30">
        <f t="shared" si="43"/>
        <v>67490.838268132517</v>
      </c>
      <c r="L381" s="30">
        <f t="shared" si="71"/>
        <v>782647.80096689565</v>
      </c>
    </row>
    <row r="382" spans="1:12" ht="30" customHeight="1" x14ac:dyDescent="0.2">
      <c r="A382" s="27" t="s">
        <v>1222</v>
      </c>
      <c r="B382" s="27"/>
      <c r="C382" s="27" t="s">
        <v>1170</v>
      </c>
      <c r="D382" s="31">
        <f t="shared" si="73"/>
        <v>5.05</v>
      </c>
      <c r="E382" s="30">
        <v>25917</v>
      </c>
      <c r="F382" s="31">
        <v>1.1499999999999999</v>
      </c>
      <c r="G382" s="31">
        <v>1.22</v>
      </c>
      <c r="H382" s="31">
        <v>1.35</v>
      </c>
      <c r="I382" s="31">
        <v>1.3</v>
      </c>
      <c r="J382" s="31">
        <v>1.0777000000000001</v>
      </c>
      <c r="K382" s="30">
        <f t="shared" si="43"/>
        <v>68772.91036478852</v>
      </c>
      <c r="L382" s="30">
        <f t="shared" si="71"/>
        <v>851420.71133168414</v>
      </c>
    </row>
    <row r="383" spans="1:12" ht="30" customHeight="1" x14ac:dyDescent="0.2">
      <c r="A383" s="27" t="s">
        <v>1222</v>
      </c>
      <c r="B383" s="27"/>
      <c r="C383" s="27" t="s">
        <v>1225</v>
      </c>
      <c r="D383" s="31">
        <f>D382+1.4</f>
        <v>6.4499999999999993</v>
      </c>
      <c r="E383" s="30">
        <v>71544</v>
      </c>
      <c r="F383" s="31"/>
      <c r="G383" s="31">
        <v>1.22</v>
      </c>
      <c r="H383" s="31">
        <v>1.35</v>
      </c>
      <c r="I383" s="31">
        <v>1.3</v>
      </c>
      <c r="J383" s="31"/>
      <c r="K383" s="30">
        <f t="shared" si="43"/>
        <v>153182.8584</v>
      </c>
      <c r="L383" s="30">
        <f t="shared" si="71"/>
        <v>1004603.5697316842</v>
      </c>
    </row>
    <row r="384" spans="1:12" ht="30" customHeight="1" x14ac:dyDescent="0.2">
      <c r="A384" s="27" t="s">
        <v>1222</v>
      </c>
      <c r="B384" s="27"/>
      <c r="C384" s="27" t="s">
        <v>1189</v>
      </c>
      <c r="D384" s="31">
        <f>D383+0.234</f>
        <v>6.6839999999999993</v>
      </c>
      <c r="E384" s="30">
        <f>26982*1.15</f>
        <v>31029.3</v>
      </c>
      <c r="F384" s="31">
        <v>1.1499999999999999</v>
      </c>
      <c r="G384" s="31"/>
      <c r="H384" s="31">
        <v>1.35</v>
      </c>
      <c r="I384" s="31">
        <v>1.3</v>
      </c>
      <c r="J384" s="31">
        <v>1.0777000000000001</v>
      </c>
      <c r="K384" s="30">
        <f t="shared" si="43"/>
        <v>67490.838268132517</v>
      </c>
      <c r="L384" s="30">
        <f t="shared" si="71"/>
        <v>1072094.4079998166</v>
      </c>
    </row>
    <row r="385" spans="1:12" ht="30" customHeight="1" x14ac:dyDescent="0.2">
      <c r="A385" s="27" t="s">
        <v>1222</v>
      </c>
      <c r="B385" s="27"/>
      <c r="C385" s="27" t="s">
        <v>1172</v>
      </c>
      <c r="D385" s="31">
        <f t="shared" ref="D385:D387" si="74">D384+0.5415</f>
        <v>7.2254999999999994</v>
      </c>
      <c r="E385" s="30">
        <v>25917</v>
      </c>
      <c r="F385" s="31">
        <v>1.1499999999999999</v>
      </c>
      <c r="G385" s="31">
        <v>1.22</v>
      </c>
      <c r="H385" s="31">
        <v>1.35</v>
      </c>
      <c r="I385" s="31">
        <v>1.3</v>
      </c>
      <c r="J385" s="31">
        <v>1.0777000000000001</v>
      </c>
      <c r="K385" s="30">
        <f t="shared" si="43"/>
        <v>68772.91036478852</v>
      </c>
      <c r="L385" s="30">
        <f t="shared" si="71"/>
        <v>1140867.3183646051</v>
      </c>
    </row>
    <row r="386" spans="1:12" ht="30" customHeight="1" x14ac:dyDescent="0.2">
      <c r="A386" s="27" t="s">
        <v>1222</v>
      </c>
      <c r="B386" s="27"/>
      <c r="C386" s="27" t="s">
        <v>1193</v>
      </c>
      <c r="D386" s="31">
        <f t="shared" si="74"/>
        <v>7.7669999999999995</v>
      </c>
      <c r="E386" s="30">
        <f>26982*1.15</f>
        <v>31029.3</v>
      </c>
      <c r="F386" s="31">
        <v>1.1499999999999999</v>
      </c>
      <c r="G386" s="31"/>
      <c r="H386" s="31">
        <v>1.35</v>
      </c>
      <c r="I386" s="31">
        <v>1.3</v>
      </c>
      <c r="J386" s="31">
        <v>1.0777000000000001</v>
      </c>
      <c r="K386" s="30">
        <f t="shared" si="43"/>
        <v>67490.838268132517</v>
      </c>
      <c r="L386" s="30">
        <f t="shared" si="71"/>
        <v>1208358.1566327375</v>
      </c>
    </row>
    <row r="387" spans="1:12" ht="30" customHeight="1" x14ac:dyDescent="0.2">
      <c r="A387" s="27" t="s">
        <v>1222</v>
      </c>
      <c r="B387" s="27"/>
      <c r="C387" s="27" t="s">
        <v>1190</v>
      </c>
      <c r="D387" s="31">
        <f t="shared" si="74"/>
        <v>8.3084999999999987</v>
      </c>
      <c r="E387" s="30">
        <v>25917</v>
      </c>
      <c r="F387" s="31">
        <v>1.1499999999999999</v>
      </c>
      <c r="G387" s="31">
        <v>1.22</v>
      </c>
      <c r="H387" s="31">
        <v>1.35</v>
      </c>
      <c r="I387" s="31">
        <v>1.3</v>
      </c>
      <c r="J387" s="31">
        <v>1.0777000000000001</v>
      </c>
      <c r="K387" s="30">
        <f t="shared" si="43"/>
        <v>68772.91036478852</v>
      </c>
      <c r="L387" s="30">
        <f t="shared" si="71"/>
        <v>1277131.066997526</v>
      </c>
    </row>
    <row r="388" spans="1:12" ht="30" customHeight="1" x14ac:dyDescent="0.2">
      <c r="A388" s="27" t="s">
        <v>1222</v>
      </c>
      <c r="B388" s="27"/>
      <c r="C388" s="27" t="s">
        <v>1226</v>
      </c>
      <c r="D388" s="31">
        <f>D387+0.983</f>
        <v>9.2914999999999992</v>
      </c>
      <c r="E388" s="30">
        <v>71544</v>
      </c>
      <c r="F388" s="31"/>
      <c r="G388" s="31">
        <v>1.22</v>
      </c>
      <c r="H388" s="31">
        <v>1.35</v>
      </c>
      <c r="I388" s="31">
        <v>1.3</v>
      </c>
      <c r="J388" s="31"/>
      <c r="K388" s="30">
        <f t="shared" si="43"/>
        <v>153182.8584</v>
      </c>
      <c r="L388" s="30">
        <f t="shared" si="71"/>
        <v>1430313.925397526</v>
      </c>
    </row>
    <row r="389" spans="1:12" ht="30" customHeight="1" x14ac:dyDescent="0.2">
      <c r="A389" s="27" t="s">
        <v>1222</v>
      </c>
      <c r="B389" s="27"/>
      <c r="C389" s="27" t="s">
        <v>1195</v>
      </c>
      <c r="D389" s="31">
        <f>D388+0.234</f>
        <v>9.5254999999999992</v>
      </c>
      <c r="E389" s="30">
        <f>26982*1.15</f>
        <v>31029.3</v>
      </c>
      <c r="F389" s="31">
        <v>1.1499999999999999</v>
      </c>
      <c r="G389" s="31"/>
      <c r="H389" s="31">
        <v>1.35</v>
      </c>
      <c r="I389" s="31">
        <v>1.3</v>
      </c>
      <c r="J389" s="31">
        <v>1.0777000000000001</v>
      </c>
      <c r="K389" s="30">
        <f t="shared" si="43"/>
        <v>67490.838268132517</v>
      </c>
      <c r="L389" s="30">
        <f t="shared" si="71"/>
        <v>1497804.7636656584</v>
      </c>
    </row>
    <row r="390" spans="1:12" ht="30" customHeight="1" x14ac:dyDescent="0.2">
      <c r="A390" s="27" t="s">
        <v>1222</v>
      </c>
      <c r="B390" s="27"/>
      <c r="C390" s="27" t="s">
        <v>1192</v>
      </c>
      <c r="D390" s="31">
        <f t="shared" ref="D390:D392" si="75">D389+0.5415</f>
        <v>10.066999999999998</v>
      </c>
      <c r="E390" s="30">
        <v>25917</v>
      </c>
      <c r="F390" s="31">
        <v>1.1499999999999999</v>
      </c>
      <c r="G390" s="31">
        <v>1.22</v>
      </c>
      <c r="H390" s="31">
        <v>1.35</v>
      </c>
      <c r="I390" s="31">
        <v>1.3</v>
      </c>
      <c r="J390" s="31">
        <v>1.0777000000000001</v>
      </c>
      <c r="K390" s="30">
        <f t="shared" si="43"/>
        <v>68772.91036478852</v>
      </c>
      <c r="L390" s="30">
        <f t="shared" si="71"/>
        <v>1566577.6740304469</v>
      </c>
    </row>
    <row r="391" spans="1:12" ht="30" customHeight="1" x14ac:dyDescent="0.2">
      <c r="A391" s="27" t="s">
        <v>1222</v>
      </c>
      <c r="B391" s="27"/>
      <c r="C391" s="27" t="s">
        <v>1197</v>
      </c>
      <c r="D391" s="31">
        <f t="shared" si="75"/>
        <v>10.608499999999998</v>
      </c>
      <c r="E391" s="30">
        <f>26982*1.15</f>
        <v>31029.3</v>
      </c>
      <c r="F391" s="31">
        <v>1.1499999999999999</v>
      </c>
      <c r="G391" s="31"/>
      <c r="H391" s="31">
        <v>1.35</v>
      </c>
      <c r="I391" s="31">
        <v>1.3</v>
      </c>
      <c r="J391" s="31">
        <v>1.0777000000000001</v>
      </c>
      <c r="K391" s="30">
        <f t="shared" si="43"/>
        <v>67490.838268132517</v>
      </c>
      <c r="L391" s="30">
        <f t="shared" si="71"/>
        <v>1634068.5122985793</v>
      </c>
    </row>
    <row r="392" spans="1:12" ht="30" customHeight="1" x14ac:dyDescent="0.2">
      <c r="A392" s="27" t="s">
        <v>1222</v>
      </c>
      <c r="B392" s="27"/>
      <c r="C392" s="27" t="s">
        <v>1194</v>
      </c>
      <c r="D392" s="31">
        <f t="shared" si="75"/>
        <v>11.149999999999997</v>
      </c>
      <c r="E392" s="30">
        <v>25917</v>
      </c>
      <c r="F392" s="31">
        <v>1.1499999999999999</v>
      </c>
      <c r="G392" s="31">
        <v>1.22</v>
      </c>
      <c r="H392" s="31">
        <v>1.35</v>
      </c>
      <c r="I392" s="31">
        <v>1.3</v>
      </c>
      <c r="J392" s="31">
        <v>1.0777000000000001</v>
      </c>
      <c r="K392" s="30">
        <f t="shared" si="43"/>
        <v>68772.91036478852</v>
      </c>
      <c r="L392" s="30">
        <f t="shared" si="71"/>
        <v>1702841.4226633678</v>
      </c>
    </row>
    <row r="393" spans="1:12" ht="30" customHeight="1" x14ac:dyDescent="0.2">
      <c r="A393" s="27" t="s">
        <v>1222</v>
      </c>
      <c r="B393" s="27"/>
      <c r="C393" s="27" t="s">
        <v>1227</v>
      </c>
      <c r="D393" s="31">
        <f>D392+1.4</f>
        <v>12.549999999999997</v>
      </c>
      <c r="E393" s="30">
        <v>71544</v>
      </c>
      <c r="F393" s="31"/>
      <c r="G393" s="31">
        <v>1.22</v>
      </c>
      <c r="H393" s="31">
        <v>1.35</v>
      </c>
      <c r="I393" s="31">
        <v>1.3</v>
      </c>
      <c r="J393" s="31"/>
      <c r="K393" s="30">
        <f t="shared" si="43"/>
        <v>153182.8584</v>
      </c>
      <c r="L393" s="30">
        <f t="shared" si="71"/>
        <v>1856024.2810633678</v>
      </c>
    </row>
    <row r="394" spans="1:12" ht="30" customHeight="1" x14ac:dyDescent="0.2">
      <c r="A394" s="27" t="s">
        <v>1222</v>
      </c>
      <c r="B394" s="27"/>
      <c r="C394" s="27" t="s">
        <v>1199</v>
      </c>
      <c r="D394" s="31">
        <f>D393+0.234</f>
        <v>12.783999999999997</v>
      </c>
      <c r="E394" s="30">
        <f>26982*1.15</f>
        <v>31029.3</v>
      </c>
      <c r="F394" s="31">
        <v>1.1499999999999999</v>
      </c>
      <c r="G394" s="31"/>
      <c r="H394" s="31">
        <v>1.35</v>
      </c>
      <c r="I394" s="31">
        <v>1.3</v>
      </c>
      <c r="J394" s="31">
        <v>1.0777000000000001</v>
      </c>
      <c r="K394" s="30">
        <f t="shared" si="43"/>
        <v>67490.838268132517</v>
      </c>
      <c r="L394" s="30">
        <f t="shared" si="71"/>
        <v>1923515.1193315003</v>
      </c>
    </row>
    <row r="395" spans="1:12" ht="30" customHeight="1" x14ac:dyDescent="0.2">
      <c r="A395" s="27" t="s">
        <v>1222</v>
      </c>
      <c r="B395" s="27"/>
      <c r="C395" s="27" t="s">
        <v>1196</v>
      </c>
      <c r="D395" s="31">
        <f t="shared" ref="D395:D397" si="76">D394+0.5415</f>
        <v>13.325499999999996</v>
      </c>
      <c r="E395" s="30">
        <v>25917</v>
      </c>
      <c r="F395" s="31">
        <v>1.1499999999999999</v>
      </c>
      <c r="G395" s="31">
        <v>1.22</v>
      </c>
      <c r="H395" s="31">
        <v>1.35</v>
      </c>
      <c r="I395" s="31">
        <v>1.3</v>
      </c>
      <c r="J395" s="31">
        <v>1.0777000000000001</v>
      </c>
      <c r="K395" s="30">
        <f t="shared" si="43"/>
        <v>68772.91036478852</v>
      </c>
      <c r="L395" s="30">
        <f t="shared" si="71"/>
        <v>1992288.0296962888</v>
      </c>
    </row>
    <row r="396" spans="1:12" ht="30" customHeight="1" x14ac:dyDescent="0.2">
      <c r="A396" s="27" t="s">
        <v>1222</v>
      </c>
      <c r="B396" s="27"/>
      <c r="C396" s="27" t="s">
        <v>1201</v>
      </c>
      <c r="D396" s="31">
        <f t="shared" si="76"/>
        <v>13.866999999999996</v>
      </c>
      <c r="E396" s="30">
        <f>26982*1.15</f>
        <v>31029.3</v>
      </c>
      <c r="F396" s="31">
        <v>1.1499999999999999</v>
      </c>
      <c r="G396" s="31"/>
      <c r="H396" s="31">
        <v>1.35</v>
      </c>
      <c r="I396" s="31">
        <v>1.3</v>
      </c>
      <c r="J396" s="31">
        <v>1.0777000000000001</v>
      </c>
      <c r="K396" s="30">
        <f t="shared" si="43"/>
        <v>67490.838268132517</v>
      </c>
      <c r="L396" s="30">
        <f t="shared" si="71"/>
        <v>2059778.8679644212</v>
      </c>
    </row>
    <row r="397" spans="1:12" ht="30" customHeight="1" x14ac:dyDescent="0.2">
      <c r="A397" s="27" t="s">
        <v>1222</v>
      </c>
      <c r="B397" s="27"/>
      <c r="C397" s="27" t="s">
        <v>1198</v>
      </c>
      <c r="D397" s="31">
        <f t="shared" si="76"/>
        <v>14.408499999999995</v>
      </c>
      <c r="E397" s="30">
        <v>25917</v>
      </c>
      <c r="F397" s="31">
        <v>1.1499999999999999</v>
      </c>
      <c r="G397" s="31">
        <v>1.22</v>
      </c>
      <c r="H397" s="31">
        <v>1.35</v>
      </c>
      <c r="I397" s="31">
        <v>1.3</v>
      </c>
      <c r="J397" s="31">
        <v>1.0777000000000001</v>
      </c>
      <c r="K397" s="30">
        <f t="shared" si="43"/>
        <v>68772.91036478852</v>
      </c>
      <c r="L397" s="30">
        <f t="shared" si="71"/>
        <v>2128551.7783292099</v>
      </c>
    </row>
    <row r="398" spans="1:12" ht="30" customHeight="1" x14ac:dyDescent="0.2">
      <c r="A398" s="27" t="s">
        <v>1222</v>
      </c>
      <c r="B398" s="27"/>
      <c r="C398" s="27" t="s">
        <v>1228</v>
      </c>
      <c r="D398" s="31">
        <f>D397+0.983</f>
        <v>15.391499999999995</v>
      </c>
      <c r="E398" s="30">
        <v>71544</v>
      </c>
      <c r="F398" s="31"/>
      <c r="G398" s="31">
        <v>1.22</v>
      </c>
      <c r="H398" s="31">
        <v>1.35</v>
      </c>
      <c r="I398" s="31">
        <v>1.3</v>
      </c>
      <c r="J398" s="31"/>
      <c r="K398" s="30">
        <f t="shared" si="43"/>
        <v>153182.8584</v>
      </c>
      <c r="L398" s="30">
        <f t="shared" si="71"/>
        <v>2281734.6367292097</v>
      </c>
    </row>
    <row r="399" spans="1:12" ht="30" customHeight="1" x14ac:dyDescent="0.2">
      <c r="A399" s="27" t="s">
        <v>1222</v>
      </c>
      <c r="B399" s="27"/>
      <c r="C399" s="27" t="s">
        <v>1205</v>
      </c>
      <c r="D399" s="31">
        <f>D398+0.234</f>
        <v>15.625499999999995</v>
      </c>
      <c r="E399" s="30">
        <f>26982*1.15</f>
        <v>31029.3</v>
      </c>
      <c r="F399" s="31">
        <v>1.1499999999999999</v>
      </c>
      <c r="G399" s="31"/>
      <c r="H399" s="31">
        <v>1.35</v>
      </c>
      <c r="I399" s="31">
        <v>1.3</v>
      </c>
      <c r="J399" s="31">
        <v>1.0777000000000001</v>
      </c>
      <c r="K399" s="30">
        <f t="shared" si="43"/>
        <v>67490.838268132517</v>
      </c>
      <c r="L399" s="30">
        <f t="shared" si="71"/>
        <v>2349225.4749973421</v>
      </c>
    </row>
    <row r="400" spans="1:12" ht="30" customHeight="1" x14ac:dyDescent="0.2">
      <c r="A400" s="27" t="s">
        <v>1222</v>
      </c>
      <c r="B400" s="27"/>
      <c r="C400" s="27" t="s">
        <v>1200</v>
      </c>
      <c r="D400" s="31">
        <f t="shared" ref="D400:D402" si="77">D399+0.5415</f>
        <v>16.166999999999994</v>
      </c>
      <c r="E400" s="30">
        <v>25917</v>
      </c>
      <c r="F400" s="31">
        <v>1.1499999999999999</v>
      </c>
      <c r="G400" s="31">
        <v>1.22</v>
      </c>
      <c r="H400" s="31">
        <v>1.35</v>
      </c>
      <c r="I400" s="31">
        <v>1.3</v>
      </c>
      <c r="J400" s="31">
        <v>1.0777000000000001</v>
      </c>
      <c r="K400" s="30">
        <f t="shared" si="43"/>
        <v>68772.91036478852</v>
      </c>
      <c r="L400" s="30">
        <f t="shared" si="71"/>
        <v>2417998.3853621306</v>
      </c>
    </row>
    <row r="401" spans="1:12" ht="30" customHeight="1" x14ac:dyDescent="0.2">
      <c r="A401" s="27" t="s">
        <v>1222</v>
      </c>
      <c r="B401" s="27"/>
      <c r="C401" s="27" t="s">
        <v>1207</v>
      </c>
      <c r="D401" s="31">
        <f t="shared" si="77"/>
        <v>16.708499999999994</v>
      </c>
      <c r="E401" s="30">
        <f>26982*1.15</f>
        <v>31029.3</v>
      </c>
      <c r="F401" s="31">
        <v>1.1499999999999999</v>
      </c>
      <c r="G401" s="31"/>
      <c r="H401" s="31">
        <v>1.35</v>
      </c>
      <c r="I401" s="31">
        <v>1.3</v>
      </c>
      <c r="J401" s="31">
        <v>1.0777000000000001</v>
      </c>
      <c r="K401" s="30">
        <f t="shared" si="43"/>
        <v>67490.838268132517</v>
      </c>
      <c r="L401" s="30">
        <f t="shared" si="71"/>
        <v>2485489.223630263</v>
      </c>
    </row>
    <row r="402" spans="1:12" ht="30" customHeight="1" x14ac:dyDescent="0.2">
      <c r="A402" s="27" t="s">
        <v>1222</v>
      </c>
      <c r="B402" s="27"/>
      <c r="C402" s="27" t="s">
        <v>1202</v>
      </c>
      <c r="D402" s="31">
        <f t="shared" si="77"/>
        <v>17.249999999999993</v>
      </c>
      <c r="E402" s="30">
        <v>25917</v>
      </c>
      <c r="F402" s="31">
        <v>1.1499999999999999</v>
      </c>
      <c r="G402" s="31">
        <v>1.22</v>
      </c>
      <c r="H402" s="31">
        <v>1.35</v>
      </c>
      <c r="I402" s="31">
        <v>1.3</v>
      </c>
      <c r="J402" s="31">
        <v>1.0777000000000001</v>
      </c>
      <c r="K402" s="30">
        <f t="shared" si="43"/>
        <v>68772.91036478852</v>
      </c>
      <c r="L402" s="30">
        <f t="shared" si="71"/>
        <v>2554262.1339950515</v>
      </c>
    </row>
    <row r="403" spans="1:12" ht="30" customHeight="1" x14ac:dyDescent="0.2">
      <c r="A403" s="27" t="s">
        <v>1222</v>
      </c>
      <c r="B403" s="27"/>
      <c r="C403" s="27" t="s">
        <v>1229</v>
      </c>
      <c r="D403" s="31">
        <f>D402+1.4</f>
        <v>18.649999999999991</v>
      </c>
      <c r="E403" s="30">
        <v>71544</v>
      </c>
      <c r="F403" s="31"/>
      <c r="G403" s="31">
        <v>1.22</v>
      </c>
      <c r="H403" s="31">
        <v>1.35</v>
      </c>
      <c r="I403" s="31">
        <v>1.3</v>
      </c>
      <c r="J403" s="31"/>
      <c r="K403" s="30">
        <f t="shared" si="43"/>
        <v>153182.8584</v>
      </c>
      <c r="L403" s="30">
        <f t="shared" si="71"/>
        <v>2707444.9923950513</v>
      </c>
    </row>
    <row r="404" spans="1:12" ht="30" customHeight="1" x14ac:dyDescent="0.2">
      <c r="A404" s="27" t="s">
        <v>1222</v>
      </c>
      <c r="B404" s="27"/>
      <c r="C404" s="27" t="s">
        <v>1209</v>
      </c>
      <c r="D404" s="31">
        <f>D403+0.234</f>
        <v>18.883999999999993</v>
      </c>
      <c r="E404" s="30">
        <f>26982*1.15</f>
        <v>31029.3</v>
      </c>
      <c r="F404" s="31">
        <v>1.1499999999999999</v>
      </c>
      <c r="G404" s="31"/>
      <c r="H404" s="31">
        <v>1.35</v>
      </c>
      <c r="I404" s="31">
        <v>1.3</v>
      </c>
      <c r="J404" s="31">
        <v>1.0777000000000001</v>
      </c>
      <c r="K404" s="30">
        <f t="shared" si="43"/>
        <v>67490.838268132517</v>
      </c>
      <c r="L404" s="30">
        <f t="shared" si="71"/>
        <v>2774935.8306631837</v>
      </c>
    </row>
    <row r="405" spans="1:12" ht="30" customHeight="1" x14ac:dyDescent="0.2">
      <c r="A405" s="27" t="s">
        <v>1222</v>
      </c>
      <c r="B405" s="27"/>
      <c r="C405" s="27" t="s">
        <v>1204</v>
      </c>
      <c r="D405" s="31">
        <f t="shared" ref="D405:D407" si="78">D404+0.5415</f>
        <v>19.425499999999992</v>
      </c>
      <c r="E405" s="30">
        <v>25917</v>
      </c>
      <c r="F405" s="31">
        <v>1.1499999999999999</v>
      </c>
      <c r="G405" s="31">
        <v>1.22</v>
      </c>
      <c r="H405" s="31">
        <v>1.35</v>
      </c>
      <c r="I405" s="31">
        <v>1.3</v>
      </c>
      <c r="J405" s="31">
        <v>1.0777000000000001</v>
      </c>
      <c r="K405" s="30">
        <f t="shared" si="43"/>
        <v>68772.91036478852</v>
      </c>
      <c r="L405" s="30">
        <f t="shared" si="71"/>
        <v>2843708.7410279722</v>
      </c>
    </row>
    <row r="406" spans="1:12" ht="30" customHeight="1" x14ac:dyDescent="0.2">
      <c r="A406" s="27" t="s">
        <v>1222</v>
      </c>
      <c r="B406" s="27"/>
      <c r="C406" s="27" t="s">
        <v>1211</v>
      </c>
      <c r="D406" s="31">
        <f t="shared" si="78"/>
        <v>19.966999999999992</v>
      </c>
      <c r="E406" s="30">
        <f>26982*1.15</f>
        <v>31029.3</v>
      </c>
      <c r="F406" s="31">
        <v>1.1499999999999999</v>
      </c>
      <c r="G406" s="31"/>
      <c r="H406" s="31">
        <v>1.35</v>
      </c>
      <c r="I406" s="31">
        <v>1.3</v>
      </c>
      <c r="J406" s="31">
        <v>1.0777000000000001</v>
      </c>
      <c r="K406" s="30">
        <f t="shared" si="43"/>
        <v>67490.838268132517</v>
      </c>
      <c r="L406" s="30">
        <f t="shared" si="71"/>
        <v>2911199.5792961046</v>
      </c>
    </row>
    <row r="407" spans="1:12" ht="30" customHeight="1" x14ac:dyDescent="0.2">
      <c r="A407" s="27" t="s">
        <v>1222</v>
      </c>
      <c r="B407" s="27"/>
      <c r="C407" s="27" t="s">
        <v>1206</v>
      </c>
      <c r="D407" s="31">
        <f t="shared" si="78"/>
        <v>20.508499999999991</v>
      </c>
      <c r="E407" s="30">
        <v>25917</v>
      </c>
      <c r="F407" s="31">
        <v>1.1499999999999999</v>
      </c>
      <c r="G407" s="31">
        <v>1.22</v>
      </c>
      <c r="H407" s="31">
        <v>1.35</v>
      </c>
      <c r="I407" s="31">
        <v>1.3</v>
      </c>
      <c r="J407" s="31">
        <v>1.0777000000000001</v>
      </c>
      <c r="K407" s="30">
        <f t="shared" si="43"/>
        <v>68772.91036478852</v>
      </c>
      <c r="L407" s="30">
        <f t="shared" si="71"/>
        <v>2979972.4896608931</v>
      </c>
    </row>
    <row r="408" spans="1:12" ht="30" customHeight="1" x14ac:dyDescent="0.2">
      <c r="A408" s="27" t="s">
        <v>1222</v>
      </c>
      <c r="B408" s="27"/>
      <c r="C408" s="27" t="s">
        <v>1230</v>
      </c>
      <c r="D408" s="31">
        <f>D407+0.983</f>
        <v>21.491499999999991</v>
      </c>
      <c r="E408" s="30">
        <v>71544</v>
      </c>
      <c r="F408" s="31"/>
      <c r="G408" s="31">
        <v>1.22</v>
      </c>
      <c r="H408" s="31">
        <v>1.35</v>
      </c>
      <c r="I408" s="31">
        <v>1.3</v>
      </c>
      <c r="J408" s="31"/>
      <c r="K408" s="30">
        <f t="shared" si="43"/>
        <v>153182.8584</v>
      </c>
      <c r="L408" s="30">
        <f t="shared" si="71"/>
        <v>3133155.3480608929</v>
      </c>
    </row>
    <row r="409" spans="1:12" ht="30" customHeight="1" x14ac:dyDescent="0.2">
      <c r="A409" s="27" t="s">
        <v>1222</v>
      </c>
      <c r="B409" s="27"/>
      <c r="C409" s="27" t="s">
        <v>1213</v>
      </c>
      <c r="D409" s="31">
        <f>D408+0.234</f>
        <v>21.725499999999993</v>
      </c>
      <c r="E409" s="30">
        <f>26982*1.15</f>
        <v>31029.3</v>
      </c>
      <c r="F409" s="31">
        <v>1.1499999999999999</v>
      </c>
      <c r="G409" s="31"/>
      <c r="H409" s="31">
        <v>1.35</v>
      </c>
      <c r="I409" s="31">
        <v>1.3</v>
      </c>
      <c r="J409" s="31">
        <v>1.0777000000000001</v>
      </c>
      <c r="K409" s="30">
        <f t="shared" si="43"/>
        <v>67490.838268132517</v>
      </c>
      <c r="L409" s="30">
        <f t="shared" si="71"/>
        <v>3200646.1863290253</v>
      </c>
    </row>
    <row r="410" spans="1:12" ht="30" customHeight="1" x14ac:dyDescent="0.2">
      <c r="A410" s="27" t="s">
        <v>1222</v>
      </c>
      <c r="B410" s="27"/>
      <c r="C410" s="27" t="s">
        <v>1208</v>
      </c>
      <c r="D410" s="31">
        <f t="shared" ref="D410:D412" si="79">D409+0.5415</f>
        <v>22.266999999999992</v>
      </c>
      <c r="E410" s="30">
        <v>25917</v>
      </c>
      <c r="F410" s="31">
        <v>1.1499999999999999</v>
      </c>
      <c r="G410" s="31">
        <v>1.22</v>
      </c>
      <c r="H410" s="31">
        <v>1.35</v>
      </c>
      <c r="I410" s="31">
        <v>1.3</v>
      </c>
      <c r="J410" s="31">
        <v>1.0777000000000001</v>
      </c>
      <c r="K410" s="30">
        <f t="shared" si="43"/>
        <v>68772.91036478852</v>
      </c>
      <c r="L410" s="30">
        <f t="shared" si="71"/>
        <v>3269419.0966938138</v>
      </c>
    </row>
    <row r="411" spans="1:12" ht="30" customHeight="1" x14ac:dyDescent="0.2">
      <c r="A411" s="27" t="s">
        <v>1222</v>
      </c>
      <c r="B411" s="27"/>
      <c r="C411" s="27" t="s">
        <v>1217</v>
      </c>
      <c r="D411" s="31">
        <f t="shared" si="79"/>
        <v>22.808499999999992</v>
      </c>
      <c r="E411" s="30">
        <f>26982*1.15</f>
        <v>31029.3</v>
      </c>
      <c r="F411" s="31">
        <v>1.1499999999999999</v>
      </c>
      <c r="G411" s="31"/>
      <c r="H411" s="31">
        <v>1.35</v>
      </c>
      <c r="I411" s="31">
        <v>1.3</v>
      </c>
      <c r="J411" s="31">
        <v>1.0777000000000001</v>
      </c>
      <c r="K411" s="30">
        <f t="shared" si="43"/>
        <v>67490.838268132517</v>
      </c>
      <c r="L411" s="30">
        <f t="shared" si="71"/>
        <v>3336909.9349619462</v>
      </c>
    </row>
    <row r="412" spans="1:12" ht="30" customHeight="1" x14ac:dyDescent="0.2">
      <c r="A412" s="27" t="s">
        <v>1222</v>
      </c>
      <c r="B412" s="27"/>
      <c r="C412" s="27" t="s">
        <v>1210</v>
      </c>
      <c r="D412" s="31">
        <f t="shared" si="79"/>
        <v>23.349999999999991</v>
      </c>
      <c r="E412" s="30">
        <v>25917</v>
      </c>
      <c r="F412" s="31">
        <v>1.1499999999999999</v>
      </c>
      <c r="G412" s="31">
        <v>1.22</v>
      </c>
      <c r="H412" s="31">
        <v>1.35</v>
      </c>
      <c r="I412" s="31">
        <v>1.3</v>
      </c>
      <c r="J412" s="31">
        <v>1.0777000000000001</v>
      </c>
      <c r="K412" s="30">
        <f t="shared" si="43"/>
        <v>68772.91036478852</v>
      </c>
      <c r="L412" s="30">
        <f t="shared" si="71"/>
        <v>3405682.8453267347</v>
      </c>
    </row>
    <row r="413" spans="1:12" ht="30" customHeight="1" x14ac:dyDescent="0.2">
      <c r="A413" s="27" t="s">
        <v>1222</v>
      </c>
      <c r="B413" s="27"/>
      <c r="C413" s="27" t="s">
        <v>1231</v>
      </c>
      <c r="D413" s="31">
        <f>D412+1.4</f>
        <v>24.749999999999989</v>
      </c>
      <c r="E413" s="30">
        <v>71544</v>
      </c>
      <c r="F413" s="31"/>
      <c r="G413" s="31">
        <v>1.22</v>
      </c>
      <c r="H413" s="31">
        <v>1.35</v>
      </c>
      <c r="I413" s="31">
        <v>1.3</v>
      </c>
      <c r="J413" s="31"/>
      <c r="K413" s="30">
        <f t="shared" si="43"/>
        <v>153182.8584</v>
      </c>
      <c r="L413" s="30">
        <f t="shared" si="71"/>
        <v>3558865.7037267345</v>
      </c>
    </row>
    <row r="414" spans="1:12" ht="30" customHeight="1" x14ac:dyDescent="0.2">
      <c r="A414" s="27" t="s">
        <v>1222</v>
      </c>
      <c r="B414" s="27"/>
      <c r="C414" s="27" t="s">
        <v>1219</v>
      </c>
      <c r="D414" s="31">
        <f>D413+0.234</f>
        <v>24.983999999999991</v>
      </c>
      <c r="E414" s="30">
        <f>26982*1.15</f>
        <v>31029.3</v>
      </c>
      <c r="F414" s="31">
        <v>1.1499999999999999</v>
      </c>
      <c r="G414" s="31"/>
      <c r="H414" s="31">
        <v>1.35</v>
      </c>
      <c r="I414" s="31">
        <v>1.3</v>
      </c>
      <c r="J414" s="31">
        <v>1.0777000000000001</v>
      </c>
      <c r="K414" s="30">
        <f t="shared" si="43"/>
        <v>67490.838268132517</v>
      </c>
      <c r="L414" s="30">
        <f t="shared" si="71"/>
        <v>3626356.5419948669</v>
      </c>
    </row>
    <row r="415" spans="1:12" ht="30" customHeight="1" x14ac:dyDescent="0.2">
      <c r="A415" s="27" t="s">
        <v>1222</v>
      </c>
      <c r="B415" s="27"/>
      <c r="C415" s="27" t="s">
        <v>1212</v>
      </c>
      <c r="D415" s="31">
        <f t="shared" ref="D415:D417" si="80">D414+0.5415</f>
        <v>25.52549999999999</v>
      </c>
      <c r="E415" s="30">
        <v>25917</v>
      </c>
      <c r="F415" s="31">
        <v>1.1499999999999999</v>
      </c>
      <c r="G415" s="31">
        <v>1.22</v>
      </c>
      <c r="H415" s="31">
        <v>1.35</v>
      </c>
      <c r="I415" s="31">
        <v>1.3</v>
      </c>
      <c r="J415" s="31">
        <v>1.0777000000000001</v>
      </c>
      <c r="K415" s="30">
        <f t="shared" si="43"/>
        <v>68772.91036478852</v>
      </c>
      <c r="L415" s="30">
        <f t="shared" si="71"/>
        <v>3695129.4523596554</v>
      </c>
    </row>
    <row r="416" spans="1:12" ht="30" customHeight="1" x14ac:dyDescent="0.2">
      <c r="A416" s="27" t="s">
        <v>1222</v>
      </c>
      <c r="B416" s="27"/>
      <c r="C416" s="27" t="s">
        <v>1221</v>
      </c>
      <c r="D416" s="31">
        <f t="shared" si="80"/>
        <v>26.06699999999999</v>
      </c>
      <c r="E416" s="30">
        <f>26982*1.15</f>
        <v>31029.3</v>
      </c>
      <c r="F416" s="31">
        <v>1.1499999999999999</v>
      </c>
      <c r="G416" s="31"/>
      <c r="H416" s="31">
        <v>1.35</v>
      </c>
      <c r="I416" s="31">
        <v>1.3</v>
      </c>
      <c r="J416" s="31">
        <v>1.0777000000000001</v>
      </c>
      <c r="K416" s="30">
        <f t="shared" si="43"/>
        <v>67490.838268132517</v>
      </c>
      <c r="L416" s="30">
        <f t="shared" si="71"/>
        <v>3762620.2906277878</v>
      </c>
    </row>
    <row r="417" spans="1:12" ht="30" customHeight="1" x14ac:dyDescent="0.2">
      <c r="A417" s="27" t="s">
        <v>1222</v>
      </c>
      <c r="B417" s="27"/>
      <c r="C417" s="27" t="s">
        <v>1214</v>
      </c>
      <c r="D417" s="31">
        <f t="shared" si="80"/>
        <v>26.608499999999989</v>
      </c>
      <c r="E417" s="30">
        <v>25917</v>
      </c>
      <c r="F417" s="31">
        <v>1.1499999999999999</v>
      </c>
      <c r="G417" s="31">
        <v>1.22</v>
      </c>
      <c r="H417" s="31">
        <v>1.35</v>
      </c>
      <c r="I417" s="31">
        <v>1.3</v>
      </c>
      <c r="J417" s="31">
        <v>1.0777000000000001</v>
      </c>
      <c r="K417" s="30">
        <f t="shared" si="43"/>
        <v>68772.91036478852</v>
      </c>
      <c r="L417" s="30">
        <f t="shared" si="71"/>
        <v>3831393.2009925763</v>
      </c>
    </row>
    <row r="418" spans="1:12" ht="30" customHeight="1" x14ac:dyDescent="0.2">
      <c r="A418" s="27" t="s">
        <v>1222</v>
      </c>
      <c r="B418" s="27"/>
      <c r="C418" s="27" t="s">
        <v>1232</v>
      </c>
      <c r="D418" s="31">
        <f>D417+0.983</f>
        <v>27.591499999999989</v>
      </c>
      <c r="E418" s="30">
        <v>71544</v>
      </c>
      <c r="F418" s="31"/>
      <c r="G418" s="31">
        <v>1.22</v>
      </c>
      <c r="H418" s="31">
        <v>1.35</v>
      </c>
      <c r="I418" s="31">
        <v>1.3</v>
      </c>
      <c r="J418" s="31"/>
      <c r="K418" s="30">
        <f t="shared" si="43"/>
        <v>153182.8584</v>
      </c>
      <c r="L418" s="65">
        <f t="shared" si="71"/>
        <v>3984576.0593925761</v>
      </c>
    </row>
    <row r="419" spans="1:12" ht="30" customHeight="1" x14ac:dyDescent="0.2">
      <c r="A419" s="27" t="s">
        <v>1233</v>
      </c>
      <c r="B419" s="27"/>
      <c r="C419" s="27" t="s">
        <v>1102</v>
      </c>
      <c r="D419" s="31">
        <v>0</v>
      </c>
      <c r="E419" s="30">
        <f>27050*1.1</f>
        <v>29755.000000000004</v>
      </c>
      <c r="F419" s="31"/>
      <c r="G419" s="31">
        <v>1.17</v>
      </c>
      <c r="H419" s="31">
        <v>1.35</v>
      </c>
      <c r="I419" s="31">
        <v>1.3</v>
      </c>
      <c r="J419" s="31"/>
      <c r="K419" s="30">
        <f t="shared" si="43"/>
        <v>61097.429250000001</v>
      </c>
      <c r="L419" s="30">
        <f>K419</f>
        <v>61097.429250000001</v>
      </c>
    </row>
    <row r="420" spans="1:12" ht="30" customHeight="1" x14ac:dyDescent="0.2">
      <c r="A420" s="27" t="s">
        <v>1233</v>
      </c>
      <c r="B420" s="27"/>
      <c r="C420" s="27" t="s">
        <v>936</v>
      </c>
      <c r="D420" s="31">
        <v>1.7</v>
      </c>
      <c r="E420" s="30">
        <v>566782</v>
      </c>
      <c r="F420" s="31"/>
      <c r="G420" s="31"/>
      <c r="H420" s="31"/>
      <c r="I420" s="31">
        <v>1.3</v>
      </c>
      <c r="J420" s="31"/>
      <c r="K420" s="30">
        <f t="shared" si="43"/>
        <v>736816.6</v>
      </c>
      <c r="L420" s="30">
        <f t="shared" ref="L420:L422" si="81">K420+L419</f>
        <v>797914.02925000002</v>
      </c>
    </row>
    <row r="421" spans="1:12" ht="30" customHeight="1" x14ac:dyDescent="0.2">
      <c r="A421" s="27" t="s">
        <v>1233</v>
      </c>
      <c r="B421" s="27"/>
      <c r="C421" s="27" t="s">
        <v>1159</v>
      </c>
      <c r="D421" s="31">
        <v>2.6659999999999999</v>
      </c>
      <c r="E421" s="30">
        <f>26982*1.15</f>
        <v>31029.3</v>
      </c>
      <c r="F421" s="31">
        <v>2</v>
      </c>
      <c r="G421" s="31">
        <v>1.1000000000000001</v>
      </c>
      <c r="H421" s="31">
        <v>1.35</v>
      </c>
      <c r="I421" s="31">
        <v>1.3</v>
      </c>
      <c r="J421" s="31">
        <v>1.0777000000000001</v>
      </c>
      <c r="K421" s="30">
        <f t="shared" si="43"/>
        <v>129112.90799121001</v>
      </c>
      <c r="L421" s="30">
        <f t="shared" si="81"/>
        <v>927026.93724121002</v>
      </c>
    </row>
    <row r="422" spans="1:12" ht="30" customHeight="1" x14ac:dyDescent="0.2">
      <c r="A422" s="27" t="s">
        <v>1233</v>
      </c>
      <c r="B422" s="27"/>
      <c r="C422" s="27" t="s">
        <v>1234</v>
      </c>
      <c r="D422" s="31">
        <f t="shared" ref="D422:D432" si="82">D421+0.5415</f>
        <v>3.2075</v>
      </c>
      <c r="E422" s="30">
        <v>25917</v>
      </c>
      <c r="F422" s="31">
        <v>1.1499999999999999</v>
      </c>
      <c r="G422" s="31">
        <v>1.17</v>
      </c>
      <c r="H422" s="31">
        <v>1.35</v>
      </c>
      <c r="I422" s="31">
        <v>1.3</v>
      </c>
      <c r="J422" s="31">
        <v>1.0777000000000001</v>
      </c>
      <c r="K422" s="30">
        <f t="shared" si="43"/>
        <v>65954.348464592258</v>
      </c>
      <c r="L422" s="30">
        <f t="shared" si="81"/>
        <v>992981.28570580226</v>
      </c>
    </row>
    <row r="423" spans="1:12" ht="30" customHeight="1" x14ac:dyDescent="0.2">
      <c r="A423" s="27" t="s">
        <v>1233</v>
      </c>
      <c r="B423" s="27"/>
      <c r="C423" s="27" t="s">
        <v>1163</v>
      </c>
      <c r="D423" s="31">
        <f t="shared" si="82"/>
        <v>3.7490000000000001</v>
      </c>
      <c r="E423" s="30">
        <f>26982*1.15</f>
        <v>31029.3</v>
      </c>
      <c r="F423" s="31"/>
      <c r="G423" s="31">
        <v>1.1000000000000001</v>
      </c>
      <c r="H423" s="31">
        <v>1.35</v>
      </c>
      <c r="I423" s="31">
        <v>1.3</v>
      </c>
      <c r="J423" s="31">
        <v>1.0777000000000001</v>
      </c>
      <c r="K423" s="30">
        <f t="shared" si="43"/>
        <v>64556.453995605007</v>
      </c>
      <c r="L423" s="30">
        <f>K423+L421</f>
        <v>991583.39123681502</v>
      </c>
    </row>
    <row r="424" spans="1:12" ht="30" customHeight="1" x14ac:dyDescent="0.2">
      <c r="A424" s="27" t="s">
        <v>1233</v>
      </c>
      <c r="B424" s="27"/>
      <c r="C424" s="27" t="s">
        <v>1235</v>
      </c>
      <c r="D424" s="31">
        <f t="shared" si="82"/>
        <v>4.2904999999999998</v>
      </c>
      <c r="E424" s="30">
        <v>25917</v>
      </c>
      <c r="F424" s="31">
        <v>1.1499999999999999</v>
      </c>
      <c r="G424" s="31">
        <v>1.17</v>
      </c>
      <c r="H424" s="31">
        <v>1.35</v>
      </c>
      <c r="I424" s="31">
        <v>1.3</v>
      </c>
      <c r="J424" s="31">
        <v>1.0777000000000001</v>
      </c>
      <c r="K424" s="30">
        <f t="shared" si="43"/>
        <v>65954.348464592258</v>
      </c>
      <c r="L424" s="30">
        <f t="shared" ref="L424:L432" si="83">K424+L423</f>
        <v>1057537.7397014073</v>
      </c>
    </row>
    <row r="425" spans="1:12" ht="30" customHeight="1" x14ac:dyDescent="0.2">
      <c r="A425" s="27" t="s">
        <v>1233</v>
      </c>
      <c r="B425" s="27"/>
      <c r="C425" s="27" t="s">
        <v>1165</v>
      </c>
      <c r="D425" s="31">
        <f t="shared" si="82"/>
        <v>4.8319999999999999</v>
      </c>
      <c r="E425" s="30">
        <f>26982*1.15</f>
        <v>31029.3</v>
      </c>
      <c r="F425" s="31"/>
      <c r="G425" s="31">
        <v>1.1000000000000001</v>
      </c>
      <c r="H425" s="31">
        <v>1.35</v>
      </c>
      <c r="I425" s="31">
        <v>1.3</v>
      </c>
      <c r="J425" s="31">
        <v>1.0777000000000001</v>
      </c>
      <c r="K425" s="30">
        <f t="shared" si="43"/>
        <v>64556.453995605007</v>
      </c>
      <c r="L425" s="30">
        <f t="shared" si="83"/>
        <v>1122094.1936970123</v>
      </c>
    </row>
    <row r="426" spans="1:12" ht="30" customHeight="1" x14ac:dyDescent="0.2">
      <c r="A426" s="27" t="s">
        <v>1233</v>
      </c>
      <c r="B426" s="27"/>
      <c r="C426" s="27" t="s">
        <v>1236</v>
      </c>
      <c r="D426" s="31">
        <f t="shared" si="82"/>
        <v>5.3734999999999999</v>
      </c>
      <c r="E426" s="30">
        <v>25917</v>
      </c>
      <c r="F426" s="31">
        <v>1.1499999999999999</v>
      </c>
      <c r="G426" s="31">
        <v>1.17</v>
      </c>
      <c r="H426" s="31">
        <v>1.35</v>
      </c>
      <c r="I426" s="31">
        <v>1.3</v>
      </c>
      <c r="J426" s="31">
        <v>1.0777000000000001</v>
      </c>
      <c r="K426" s="30">
        <f t="shared" si="43"/>
        <v>65954.348464592258</v>
      </c>
      <c r="L426" s="30">
        <f t="shared" si="83"/>
        <v>1188048.5421616046</v>
      </c>
    </row>
    <row r="427" spans="1:12" ht="30" customHeight="1" x14ac:dyDescent="0.2">
      <c r="A427" s="27" t="s">
        <v>1233</v>
      </c>
      <c r="B427" s="27"/>
      <c r="C427" s="27" t="s">
        <v>1167</v>
      </c>
      <c r="D427" s="31">
        <f t="shared" si="82"/>
        <v>5.915</v>
      </c>
      <c r="E427" s="30">
        <f>26982*1.15</f>
        <v>31029.3</v>
      </c>
      <c r="F427" s="31"/>
      <c r="G427" s="31">
        <v>1.1000000000000001</v>
      </c>
      <c r="H427" s="31">
        <v>1.35</v>
      </c>
      <c r="I427" s="31">
        <v>1.3</v>
      </c>
      <c r="J427" s="31">
        <v>1.0777000000000001</v>
      </c>
      <c r="K427" s="30">
        <f t="shared" si="43"/>
        <v>64556.453995605007</v>
      </c>
      <c r="L427" s="30">
        <f t="shared" si="83"/>
        <v>1252604.9961572096</v>
      </c>
    </row>
    <row r="428" spans="1:12" ht="30" customHeight="1" x14ac:dyDescent="0.2">
      <c r="A428" s="27" t="s">
        <v>1233</v>
      </c>
      <c r="B428" s="27"/>
      <c r="C428" s="27" t="s">
        <v>1237</v>
      </c>
      <c r="D428" s="31">
        <f t="shared" si="82"/>
        <v>6.4565000000000001</v>
      </c>
      <c r="E428" s="30">
        <v>25917</v>
      </c>
      <c r="F428" s="31">
        <v>1.1499999999999999</v>
      </c>
      <c r="G428" s="31">
        <v>1.17</v>
      </c>
      <c r="H428" s="31">
        <v>1.35</v>
      </c>
      <c r="I428" s="31">
        <v>1.3</v>
      </c>
      <c r="J428" s="31">
        <v>1.0777000000000001</v>
      </c>
      <c r="K428" s="30">
        <f t="shared" si="43"/>
        <v>65954.348464592258</v>
      </c>
      <c r="L428" s="30">
        <f t="shared" si="83"/>
        <v>1318559.344621802</v>
      </c>
    </row>
    <row r="429" spans="1:12" ht="30" customHeight="1" x14ac:dyDescent="0.2">
      <c r="A429" s="27" t="s">
        <v>1233</v>
      </c>
      <c r="B429" s="27"/>
      <c r="C429" s="27" t="s">
        <v>1169</v>
      </c>
      <c r="D429" s="31">
        <f t="shared" si="82"/>
        <v>6.9980000000000002</v>
      </c>
      <c r="E429" s="30">
        <f>26982*1.15</f>
        <v>31029.3</v>
      </c>
      <c r="F429" s="31"/>
      <c r="G429" s="31">
        <v>1.1000000000000001</v>
      </c>
      <c r="H429" s="31">
        <v>1.35</v>
      </c>
      <c r="I429" s="31">
        <v>1.3</v>
      </c>
      <c r="J429" s="31">
        <v>1.0777000000000001</v>
      </c>
      <c r="K429" s="30">
        <f t="shared" si="43"/>
        <v>64556.453995605007</v>
      </c>
      <c r="L429" s="30">
        <f t="shared" si="83"/>
        <v>1383115.798617407</v>
      </c>
    </row>
    <row r="430" spans="1:12" ht="30" customHeight="1" x14ac:dyDescent="0.2">
      <c r="A430" s="27" t="s">
        <v>1233</v>
      </c>
      <c r="B430" s="27"/>
      <c r="C430" s="27" t="s">
        <v>1238</v>
      </c>
      <c r="D430" s="31">
        <f t="shared" si="82"/>
        <v>7.5395000000000003</v>
      </c>
      <c r="E430" s="30">
        <v>25917</v>
      </c>
      <c r="F430" s="31">
        <v>1.1499999999999999</v>
      </c>
      <c r="G430" s="31">
        <v>1.17</v>
      </c>
      <c r="H430" s="31">
        <v>1.35</v>
      </c>
      <c r="I430" s="31">
        <v>1.3</v>
      </c>
      <c r="J430" s="31">
        <v>1.0777000000000001</v>
      </c>
      <c r="K430" s="30">
        <f t="shared" si="43"/>
        <v>65954.348464592258</v>
      </c>
      <c r="L430" s="30">
        <f t="shared" si="83"/>
        <v>1449070.1470819993</v>
      </c>
    </row>
    <row r="431" spans="1:12" ht="30" customHeight="1" x14ac:dyDescent="0.2">
      <c r="A431" s="27" t="s">
        <v>1233</v>
      </c>
      <c r="B431" s="27"/>
      <c r="C431" s="27" t="s">
        <v>1171</v>
      </c>
      <c r="D431" s="31">
        <f t="shared" si="82"/>
        <v>8.0809999999999995</v>
      </c>
      <c r="E431" s="30">
        <f>26982*1.15</f>
        <v>31029.3</v>
      </c>
      <c r="F431" s="31"/>
      <c r="G431" s="31">
        <v>1.1000000000000001</v>
      </c>
      <c r="H431" s="31">
        <v>1.35</v>
      </c>
      <c r="I431" s="31">
        <v>1.3</v>
      </c>
      <c r="J431" s="31">
        <v>1.0777000000000001</v>
      </c>
      <c r="K431" s="30">
        <f t="shared" si="43"/>
        <v>64556.453995605007</v>
      </c>
      <c r="L431" s="30">
        <f t="shared" si="83"/>
        <v>1513626.6010776043</v>
      </c>
    </row>
    <row r="432" spans="1:12" ht="30" customHeight="1" x14ac:dyDescent="0.2">
      <c r="A432" s="27" t="s">
        <v>1233</v>
      </c>
      <c r="B432" s="27"/>
      <c r="C432" s="27" t="s">
        <v>1239</v>
      </c>
      <c r="D432" s="31">
        <f t="shared" si="82"/>
        <v>8.6224999999999987</v>
      </c>
      <c r="E432" s="30">
        <v>25917</v>
      </c>
      <c r="F432" s="31">
        <v>1.1499999999999999</v>
      </c>
      <c r="G432" s="31">
        <v>1.17</v>
      </c>
      <c r="H432" s="31">
        <v>1.35</v>
      </c>
      <c r="I432" s="31">
        <v>1.3</v>
      </c>
      <c r="J432" s="31">
        <v>1.0777000000000001</v>
      </c>
      <c r="K432" s="30">
        <f t="shared" si="43"/>
        <v>65954.348464592258</v>
      </c>
      <c r="L432" s="30">
        <f t="shared" si="83"/>
        <v>1579580.9495421967</v>
      </c>
    </row>
    <row r="433" spans="1:12" ht="30" customHeight="1" x14ac:dyDescent="0.2">
      <c r="A433" s="27" t="s">
        <v>1233</v>
      </c>
      <c r="B433" s="27"/>
      <c r="C433" s="27" t="s">
        <v>1105</v>
      </c>
      <c r="D433" s="31">
        <f>D432+0.616</f>
        <v>9.2384999999999984</v>
      </c>
      <c r="E433" s="30">
        <f>27050*1.1</f>
        <v>29755.000000000004</v>
      </c>
      <c r="F433" s="31"/>
      <c r="G433" s="31">
        <v>1.17</v>
      </c>
      <c r="H433" s="31">
        <v>1.35</v>
      </c>
      <c r="I433" s="31">
        <v>1.3</v>
      </c>
      <c r="J433" s="31"/>
      <c r="K433" s="30">
        <f t="shared" si="43"/>
        <v>61097.429250000001</v>
      </c>
      <c r="L433" s="30">
        <f>L432+K433</f>
        <v>1640678.3787921967</v>
      </c>
    </row>
    <row r="434" spans="1:12" ht="30" customHeight="1" x14ac:dyDescent="0.2">
      <c r="A434" s="27" t="s">
        <v>1233</v>
      </c>
      <c r="B434" s="27"/>
      <c r="C434" s="27" t="s">
        <v>1173</v>
      </c>
      <c r="D434" s="31">
        <f>D433+0.4</f>
        <v>9.6384999999999987</v>
      </c>
      <c r="E434" s="30">
        <f>26982*1.15</f>
        <v>31029.3</v>
      </c>
      <c r="F434" s="31"/>
      <c r="G434" s="31">
        <v>1.1000000000000001</v>
      </c>
      <c r="H434" s="31">
        <v>1.35</v>
      </c>
      <c r="I434" s="31">
        <v>1.3</v>
      </c>
      <c r="J434" s="31">
        <v>1.0777000000000001</v>
      </c>
      <c r="K434" s="30">
        <f t="shared" si="43"/>
        <v>64556.453995605007</v>
      </c>
      <c r="L434" s="30">
        <f t="shared" ref="L434:L445" si="84">K434+L433</f>
        <v>1705234.8327878017</v>
      </c>
    </row>
    <row r="435" spans="1:12" ht="30" customHeight="1" x14ac:dyDescent="0.2">
      <c r="A435" s="27" t="s">
        <v>1233</v>
      </c>
      <c r="B435" s="27"/>
      <c r="C435" s="27" t="s">
        <v>1240</v>
      </c>
      <c r="D435" s="31">
        <f t="shared" ref="D435:D445" si="85">D434+0.5415</f>
        <v>10.179999999999998</v>
      </c>
      <c r="E435" s="30">
        <v>25917</v>
      </c>
      <c r="F435" s="31">
        <v>1.1499999999999999</v>
      </c>
      <c r="G435" s="31">
        <v>1.17</v>
      </c>
      <c r="H435" s="31">
        <v>1.35</v>
      </c>
      <c r="I435" s="31">
        <v>1.3</v>
      </c>
      <c r="J435" s="31">
        <v>1.0777000000000001</v>
      </c>
      <c r="K435" s="30">
        <f t="shared" si="43"/>
        <v>65954.348464592258</v>
      </c>
      <c r="L435" s="30">
        <f t="shared" si="84"/>
        <v>1771189.1812523941</v>
      </c>
    </row>
    <row r="436" spans="1:12" ht="30" customHeight="1" x14ac:dyDescent="0.2">
      <c r="A436" s="27" t="s">
        <v>1233</v>
      </c>
      <c r="B436" s="27"/>
      <c r="C436" s="27" t="s">
        <v>1241</v>
      </c>
      <c r="D436" s="31">
        <f t="shared" si="85"/>
        <v>10.721499999999997</v>
      </c>
      <c r="E436" s="30">
        <f>26982*1.15</f>
        <v>31029.3</v>
      </c>
      <c r="F436" s="31"/>
      <c r="G436" s="31">
        <v>1.1000000000000001</v>
      </c>
      <c r="H436" s="31">
        <v>1.35</v>
      </c>
      <c r="I436" s="31">
        <v>1.3</v>
      </c>
      <c r="J436" s="31">
        <v>1.0777000000000001</v>
      </c>
      <c r="K436" s="30">
        <f t="shared" si="43"/>
        <v>64556.453995605007</v>
      </c>
      <c r="L436" s="30">
        <f t="shared" si="84"/>
        <v>1835745.6352479991</v>
      </c>
    </row>
    <row r="437" spans="1:12" ht="30" customHeight="1" x14ac:dyDescent="0.2">
      <c r="A437" s="27" t="s">
        <v>1233</v>
      </c>
      <c r="B437" s="27"/>
      <c r="C437" s="27" t="s">
        <v>1242</v>
      </c>
      <c r="D437" s="31">
        <f t="shared" si="85"/>
        <v>11.262999999999996</v>
      </c>
      <c r="E437" s="30">
        <v>25917</v>
      </c>
      <c r="F437" s="31">
        <v>1.1499999999999999</v>
      </c>
      <c r="G437" s="31">
        <v>1.17</v>
      </c>
      <c r="H437" s="31">
        <v>1.35</v>
      </c>
      <c r="I437" s="31">
        <v>1.3</v>
      </c>
      <c r="J437" s="31">
        <v>1.0777000000000001</v>
      </c>
      <c r="K437" s="30">
        <f t="shared" si="43"/>
        <v>65954.348464592258</v>
      </c>
      <c r="L437" s="30">
        <f t="shared" si="84"/>
        <v>1901699.9837125915</v>
      </c>
    </row>
    <row r="438" spans="1:12" ht="30" customHeight="1" x14ac:dyDescent="0.2">
      <c r="A438" s="27" t="s">
        <v>1233</v>
      </c>
      <c r="B438" s="27"/>
      <c r="C438" s="27" t="s">
        <v>1243</v>
      </c>
      <c r="D438" s="31">
        <f t="shared" si="85"/>
        <v>11.804499999999996</v>
      </c>
      <c r="E438" s="30">
        <f>26982*1.15</f>
        <v>31029.3</v>
      </c>
      <c r="F438" s="31"/>
      <c r="G438" s="31">
        <v>1.1000000000000001</v>
      </c>
      <c r="H438" s="31">
        <v>1.35</v>
      </c>
      <c r="I438" s="31">
        <v>1.3</v>
      </c>
      <c r="J438" s="31">
        <v>1.0777000000000001</v>
      </c>
      <c r="K438" s="30">
        <f t="shared" si="43"/>
        <v>64556.453995605007</v>
      </c>
      <c r="L438" s="30">
        <f t="shared" si="84"/>
        <v>1966256.4377081965</v>
      </c>
    </row>
    <row r="439" spans="1:12" ht="30" customHeight="1" x14ac:dyDescent="0.2">
      <c r="A439" s="27" t="s">
        <v>1233</v>
      </c>
      <c r="B439" s="27"/>
      <c r="C439" s="27" t="s">
        <v>1244</v>
      </c>
      <c r="D439" s="31">
        <f t="shared" si="85"/>
        <v>12.345999999999995</v>
      </c>
      <c r="E439" s="30">
        <v>25917</v>
      </c>
      <c r="F439" s="31">
        <v>1.1499999999999999</v>
      </c>
      <c r="G439" s="31">
        <v>1.17</v>
      </c>
      <c r="H439" s="31">
        <v>1.35</v>
      </c>
      <c r="I439" s="31">
        <v>1.3</v>
      </c>
      <c r="J439" s="31">
        <v>1.0777000000000001</v>
      </c>
      <c r="K439" s="30">
        <f t="shared" si="43"/>
        <v>65954.348464592258</v>
      </c>
      <c r="L439" s="30">
        <f t="shared" si="84"/>
        <v>2032210.7861727888</v>
      </c>
    </row>
    <row r="440" spans="1:12" ht="30" customHeight="1" x14ac:dyDescent="0.2">
      <c r="A440" s="27" t="s">
        <v>1233</v>
      </c>
      <c r="B440" s="27"/>
      <c r="C440" s="27" t="s">
        <v>1245</v>
      </c>
      <c r="D440" s="31">
        <f t="shared" si="85"/>
        <v>12.887499999999994</v>
      </c>
      <c r="E440" s="30">
        <f>26982*1.15</f>
        <v>31029.3</v>
      </c>
      <c r="F440" s="31"/>
      <c r="G440" s="31">
        <v>1.1000000000000001</v>
      </c>
      <c r="H440" s="31">
        <v>1.35</v>
      </c>
      <c r="I440" s="31">
        <v>1.3</v>
      </c>
      <c r="J440" s="31">
        <v>1.0777000000000001</v>
      </c>
      <c r="K440" s="30">
        <f t="shared" si="43"/>
        <v>64556.453995605007</v>
      </c>
      <c r="L440" s="30">
        <f t="shared" si="84"/>
        <v>2096767.2401683938</v>
      </c>
    </row>
    <row r="441" spans="1:12" ht="30" customHeight="1" x14ac:dyDescent="0.2">
      <c r="A441" s="27" t="s">
        <v>1233</v>
      </c>
      <c r="B441" s="27"/>
      <c r="C441" s="27" t="s">
        <v>1246</v>
      </c>
      <c r="D441" s="31">
        <f t="shared" si="85"/>
        <v>13.428999999999993</v>
      </c>
      <c r="E441" s="30">
        <v>25917</v>
      </c>
      <c r="F441" s="31">
        <v>1.1499999999999999</v>
      </c>
      <c r="G441" s="31">
        <v>1.17</v>
      </c>
      <c r="H441" s="31">
        <v>1.35</v>
      </c>
      <c r="I441" s="31">
        <v>1.3</v>
      </c>
      <c r="J441" s="31">
        <v>1.0777000000000001</v>
      </c>
      <c r="K441" s="30">
        <f t="shared" si="43"/>
        <v>65954.348464592258</v>
      </c>
      <c r="L441" s="30">
        <f t="shared" si="84"/>
        <v>2162721.5886329859</v>
      </c>
    </row>
    <row r="442" spans="1:12" ht="30" customHeight="1" x14ac:dyDescent="0.2">
      <c r="A442" s="27" t="s">
        <v>1233</v>
      </c>
      <c r="B442" s="27"/>
      <c r="C442" s="27" t="s">
        <v>1247</v>
      </c>
      <c r="D442" s="31">
        <f t="shared" si="85"/>
        <v>13.970499999999992</v>
      </c>
      <c r="E442" s="30">
        <f>26982*1.15</f>
        <v>31029.3</v>
      </c>
      <c r="F442" s="31"/>
      <c r="G442" s="31">
        <v>1.1000000000000001</v>
      </c>
      <c r="H442" s="31">
        <v>1.35</v>
      </c>
      <c r="I442" s="31">
        <v>1.3</v>
      </c>
      <c r="J442" s="31">
        <v>1.0777000000000001</v>
      </c>
      <c r="K442" s="30">
        <f t="shared" si="43"/>
        <v>64556.453995605007</v>
      </c>
      <c r="L442" s="30">
        <f t="shared" si="84"/>
        <v>2227278.0426285909</v>
      </c>
    </row>
    <row r="443" spans="1:12" ht="30" customHeight="1" x14ac:dyDescent="0.2">
      <c r="A443" s="27" t="s">
        <v>1233</v>
      </c>
      <c r="B443" s="27"/>
      <c r="C443" s="27" t="s">
        <v>1248</v>
      </c>
      <c r="D443" s="31">
        <f t="shared" si="85"/>
        <v>14.511999999999992</v>
      </c>
      <c r="E443" s="30">
        <v>25917</v>
      </c>
      <c r="F443" s="31">
        <v>1.1499999999999999</v>
      </c>
      <c r="G443" s="31">
        <v>1.17</v>
      </c>
      <c r="H443" s="31">
        <v>1.35</v>
      </c>
      <c r="I443" s="31">
        <v>1.3</v>
      </c>
      <c r="J443" s="31">
        <v>1.0777000000000001</v>
      </c>
      <c r="K443" s="30">
        <f t="shared" si="43"/>
        <v>65954.348464592258</v>
      </c>
      <c r="L443" s="30">
        <f t="shared" si="84"/>
        <v>2293232.3910931833</v>
      </c>
    </row>
    <row r="444" spans="1:12" ht="30" customHeight="1" x14ac:dyDescent="0.2">
      <c r="A444" s="27" t="s">
        <v>1233</v>
      </c>
      <c r="B444" s="27"/>
      <c r="C444" s="27" t="s">
        <v>1249</v>
      </c>
      <c r="D444" s="31">
        <f t="shared" si="85"/>
        <v>15.053499999999991</v>
      </c>
      <c r="E444" s="30">
        <f>26982*1.15</f>
        <v>31029.3</v>
      </c>
      <c r="F444" s="31"/>
      <c r="G444" s="31">
        <v>1.1000000000000001</v>
      </c>
      <c r="H444" s="31">
        <v>1.35</v>
      </c>
      <c r="I444" s="31">
        <v>1.3</v>
      </c>
      <c r="J444" s="31">
        <v>1.0777000000000001</v>
      </c>
      <c r="K444" s="30">
        <f t="shared" si="43"/>
        <v>64556.453995605007</v>
      </c>
      <c r="L444" s="30">
        <f t="shared" si="84"/>
        <v>2357788.8450887883</v>
      </c>
    </row>
    <row r="445" spans="1:12" ht="30" customHeight="1" x14ac:dyDescent="0.2">
      <c r="A445" s="27" t="s">
        <v>1233</v>
      </c>
      <c r="B445" s="27"/>
      <c r="C445" s="27" t="s">
        <v>1250</v>
      </c>
      <c r="D445" s="31">
        <f t="shared" si="85"/>
        <v>15.59499999999999</v>
      </c>
      <c r="E445" s="30">
        <v>25917</v>
      </c>
      <c r="F445" s="31">
        <v>1.1499999999999999</v>
      </c>
      <c r="G445" s="31">
        <v>1.17</v>
      </c>
      <c r="H445" s="31">
        <v>1.35</v>
      </c>
      <c r="I445" s="31">
        <v>1.3</v>
      </c>
      <c r="J445" s="31">
        <v>1.0777000000000001</v>
      </c>
      <c r="K445" s="30">
        <f t="shared" si="43"/>
        <v>65954.348464592258</v>
      </c>
      <c r="L445" s="30">
        <f t="shared" si="84"/>
        <v>2423743.1935533807</v>
      </c>
    </row>
    <row r="446" spans="1:12" ht="30" customHeight="1" x14ac:dyDescent="0.2">
      <c r="A446" s="27" t="s">
        <v>1233</v>
      </c>
      <c r="B446" s="27"/>
      <c r="C446" s="27" t="s">
        <v>1251</v>
      </c>
      <c r="D446" s="31">
        <f>D445+1.65</f>
        <v>17.24499999999999</v>
      </c>
      <c r="E446" s="30">
        <f>27050*1.1</f>
        <v>29755.000000000004</v>
      </c>
      <c r="F446" s="31"/>
      <c r="G446" s="31">
        <v>1.17</v>
      </c>
      <c r="H446" s="31">
        <v>1.35</v>
      </c>
      <c r="I446" s="31">
        <v>1.3</v>
      </c>
      <c r="J446" s="31"/>
      <c r="K446" s="30">
        <f t="shared" si="43"/>
        <v>61097.429250000001</v>
      </c>
      <c r="L446" s="30">
        <f>L445+K446</f>
        <v>2484840.6228033807</v>
      </c>
    </row>
    <row r="447" spans="1:12" ht="30" customHeight="1" x14ac:dyDescent="0.2">
      <c r="A447" s="27" t="s">
        <v>1233</v>
      </c>
      <c r="B447" s="27"/>
      <c r="C447" s="27" t="s">
        <v>1252</v>
      </c>
      <c r="D447" s="31">
        <f>D446+0.4</f>
        <v>17.644999999999989</v>
      </c>
      <c r="E447" s="30">
        <f>26982*1.15</f>
        <v>31029.3</v>
      </c>
      <c r="F447" s="31"/>
      <c r="G447" s="31">
        <v>1.1000000000000001</v>
      </c>
      <c r="H447" s="31">
        <v>1.35</v>
      </c>
      <c r="I447" s="31">
        <v>1.3</v>
      </c>
      <c r="J447" s="31">
        <v>1.0777000000000001</v>
      </c>
      <c r="K447" s="30">
        <f t="shared" si="43"/>
        <v>64556.453995605007</v>
      </c>
      <c r="L447" s="30">
        <f t="shared" ref="L447:L459" si="86">K447+L446</f>
        <v>2549397.0767989857</v>
      </c>
    </row>
    <row r="448" spans="1:12" ht="30" customHeight="1" x14ac:dyDescent="0.2">
      <c r="A448" s="27" t="s">
        <v>1233</v>
      </c>
      <c r="B448" s="27"/>
      <c r="C448" s="27" t="s">
        <v>1253</v>
      </c>
      <c r="D448" s="31">
        <f t="shared" ref="D448:D458" si="87">D447+0.5415</f>
        <v>18.186499999999988</v>
      </c>
      <c r="E448" s="30">
        <v>25917</v>
      </c>
      <c r="F448" s="31">
        <v>1.1499999999999999</v>
      </c>
      <c r="G448" s="31">
        <v>1.17</v>
      </c>
      <c r="H448" s="31">
        <v>1.35</v>
      </c>
      <c r="I448" s="31">
        <v>1.3</v>
      </c>
      <c r="J448" s="31">
        <v>1.0777000000000001</v>
      </c>
      <c r="K448" s="30">
        <f t="shared" si="43"/>
        <v>65954.348464592258</v>
      </c>
      <c r="L448" s="30">
        <f t="shared" si="86"/>
        <v>2615351.4252635781</v>
      </c>
    </row>
    <row r="449" spans="1:12" ht="30" customHeight="1" x14ac:dyDescent="0.2">
      <c r="A449" s="27" t="s">
        <v>1233</v>
      </c>
      <c r="B449" s="27"/>
      <c r="C449" s="27" t="s">
        <v>1254</v>
      </c>
      <c r="D449" s="31">
        <f t="shared" si="87"/>
        <v>18.727999999999987</v>
      </c>
      <c r="E449" s="30">
        <f>26982*1.15</f>
        <v>31029.3</v>
      </c>
      <c r="F449" s="31"/>
      <c r="G449" s="31">
        <v>1.1000000000000001</v>
      </c>
      <c r="H449" s="31">
        <v>1.35</v>
      </c>
      <c r="I449" s="31">
        <v>1.3</v>
      </c>
      <c r="J449" s="31">
        <v>1.0777000000000001</v>
      </c>
      <c r="K449" s="30">
        <f t="shared" si="43"/>
        <v>64556.453995605007</v>
      </c>
      <c r="L449" s="30">
        <f t="shared" si="86"/>
        <v>2679907.8792591831</v>
      </c>
    </row>
    <row r="450" spans="1:12" ht="30" customHeight="1" x14ac:dyDescent="0.2">
      <c r="A450" s="27" t="s">
        <v>1233</v>
      </c>
      <c r="B450" s="27"/>
      <c r="C450" s="27" t="s">
        <v>1255</v>
      </c>
      <c r="D450" s="31">
        <f t="shared" si="87"/>
        <v>19.269499999999987</v>
      </c>
      <c r="E450" s="30">
        <v>25917</v>
      </c>
      <c r="F450" s="31">
        <v>1.1499999999999999</v>
      </c>
      <c r="G450" s="31">
        <v>1.17</v>
      </c>
      <c r="H450" s="31">
        <v>1.35</v>
      </c>
      <c r="I450" s="31">
        <v>1.3</v>
      </c>
      <c r="J450" s="31">
        <v>1.0777000000000001</v>
      </c>
      <c r="K450" s="30">
        <f t="shared" si="43"/>
        <v>65954.348464592258</v>
      </c>
      <c r="L450" s="30">
        <f t="shared" si="86"/>
        <v>2745862.2277237754</v>
      </c>
    </row>
    <row r="451" spans="1:12" ht="30" customHeight="1" x14ac:dyDescent="0.2">
      <c r="A451" s="27" t="s">
        <v>1233</v>
      </c>
      <c r="B451" s="27"/>
      <c r="C451" s="27" t="s">
        <v>1256</v>
      </c>
      <c r="D451" s="31">
        <f t="shared" si="87"/>
        <v>19.810999999999986</v>
      </c>
      <c r="E451" s="30">
        <f>26982*1.15</f>
        <v>31029.3</v>
      </c>
      <c r="F451" s="31"/>
      <c r="G451" s="31">
        <v>1.1000000000000001</v>
      </c>
      <c r="H451" s="31">
        <v>1.35</v>
      </c>
      <c r="I451" s="31">
        <v>1.3</v>
      </c>
      <c r="J451" s="31">
        <v>1.0777000000000001</v>
      </c>
      <c r="K451" s="30">
        <f t="shared" si="43"/>
        <v>64556.453995605007</v>
      </c>
      <c r="L451" s="30">
        <f t="shared" si="86"/>
        <v>2810418.6817193804</v>
      </c>
    </row>
    <row r="452" spans="1:12" ht="30" customHeight="1" x14ac:dyDescent="0.2">
      <c r="A452" s="27" t="s">
        <v>1233</v>
      </c>
      <c r="B452" s="27"/>
      <c r="C452" s="27" t="s">
        <v>1257</v>
      </c>
      <c r="D452" s="31">
        <f t="shared" si="87"/>
        <v>20.352499999999985</v>
      </c>
      <c r="E452" s="30">
        <v>25917</v>
      </c>
      <c r="F452" s="31">
        <v>1.1499999999999999</v>
      </c>
      <c r="G452" s="31">
        <v>1.17</v>
      </c>
      <c r="H452" s="31">
        <v>1.35</v>
      </c>
      <c r="I452" s="31">
        <v>1.3</v>
      </c>
      <c r="J452" s="31">
        <v>1.0777000000000001</v>
      </c>
      <c r="K452" s="30">
        <f t="shared" si="43"/>
        <v>65954.348464592258</v>
      </c>
      <c r="L452" s="30">
        <f t="shared" si="86"/>
        <v>2876373.0301839728</v>
      </c>
    </row>
    <row r="453" spans="1:12" ht="30" customHeight="1" x14ac:dyDescent="0.2">
      <c r="A453" s="27" t="s">
        <v>1233</v>
      </c>
      <c r="B453" s="27"/>
      <c r="C453" s="27" t="s">
        <v>1258</v>
      </c>
      <c r="D453" s="31">
        <f t="shared" si="87"/>
        <v>20.893999999999984</v>
      </c>
      <c r="E453" s="30">
        <f>26982*1.15</f>
        <v>31029.3</v>
      </c>
      <c r="F453" s="31"/>
      <c r="G453" s="31">
        <v>1.1000000000000001</v>
      </c>
      <c r="H453" s="31">
        <v>1.35</v>
      </c>
      <c r="I453" s="31">
        <v>1.3</v>
      </c>
      <c r="J453" s="31">
        <v>1.0777000000000001</v>
      </c>
      <c r="K453" s="30">
        <f t="shared" si="43"/>
        <v>64556.453995605007</v>
      </c>
      <c r="L453" s="30">
        <f t="shared" si="86"/>
        <v>2940929.4841795778</v>
      </c>
    </row>
    <row r="454" spans="1:12" ht="30" customHeight="1" x14ac:dyDescent="0.2">
      <c r="A454" s="27" t="s">
        <v>1233</v>
      </c>
      <c r="B454" s="27"/>
      <c r="C454" s="27" t="s">
        <v>1259</v>
      </c>
      <c r="D454" s="31">
        <f t="shared" si="87"/>
        <v>21.435499999999983</v>
      </c>
      <c r="E454" s="30">
        <v>25917</v>
      </c>
      <c r="F454" s="31">
        <v>1.1499999999999999</v>
      </c>
      <c r="G454" s="31">
        <v>1.17</v>
      </c>
      <c r="H454" s="31">
        <v>1.35</v>
      </c>
      <c r="I454" s="31">
        <v>1.3</v>
      </c>
      <c r="J454" s="31">
        <v>1.0777000000000001</v>
      </c>
      <c r="K454" s="30">
        <f t="shared" si="43"/>
        <v>65954.348464592258</v>
      </c>
      <c r="L454" s="30">
        <f t="shared" si="86"/>
        <v>3006883.8326441702</v>
      </c>
    </row>
    <row r="455" spans="1:12" ht="30" customHeight="1" x14ac:dyDescent="0.2">
      <c r="A455" s="27" t="s">
        <v>1233</v>
      </c>
      <c r="B455" s="27"/>
      <c r="C455" s="27" t="s">
        <v>1260</v>
      </c>
      <c r="D455" s="31">
        <f t="shared" si="87"/>
        <v>21.976999999999983</v>
      </c>
      <c r="E455" s="30">
        <f>26982*1.15</f>
        <v>31029.3</v>
      </c>
      <c r="F455" s="31"/>
      <c r="G455" s="31">
        <v>1.1000000000000001</v>
      </c>
      <c r="H455" s="31">
        <v>1.35</v>
      </c>
      <c r="I455" s="31">
        <v>1.3</v>
      </c>
      <c r="J455" s="31">
        <v>1.0777000000000001</v>
      </c>
      <c r="K455" s="30">
        <f t="shared" si="43"/>
        <v>64556.453995605007</v>
      </c>
      <c r="L455" s="30">
        <f t="shared" si="86"/>
        <v>3071440.2866397751</v>
      </c>
    </row>
    <row r="456" spans="1:12" ht="30" customHeight="1" x14ac:dyDescent="0.2">
      <c r="A456" s="27" t="s">
        <v>1233</v>
      </c>
      <c r="B456" s="27"/>
      <c r="C456" s="27" t="s">
        <v>1261</v>
      </c>
      <c r="D456" s="31">
        <f t="shared" si="87"/>
        <v>22.518499999999982</v>
      </c>
      <c r="E456" s="30">
        <v>25917</v>
      </c>
      <c r="F456" s="31">
        <v>1.1499999999999999</v>
      </c>
      <c r="G456" s="31">
        <v>1.17</v>
      </c>
      <c r="H456" s="31">
        <v>1.35</v>
      </c>
      <c r="I456" s="31">
        <v>1.3</v>
      </c>
      <c r="J456" s="31">
        <v>1.0777000000000001</v>
      </c>
      <c r="K456" s="30">
        <f t="shared" si="43"/>
        <v>65954.348464592258</v>
      </c>
      <c r="L456" s="30">
        <f t="shared" si="86"/>
        <v>3137394.6351043675</v>
      </c>
    </row>
    <row r="457" spans="1:12" ht="30" customHeight="1" x14ac:dyDescent="0.2">
      <c r="A457" s="27" t="s">
        <v>1233</v>
      </c>
      <c r="B457" s="27"/>
      <c r="C457" s="27" t="s">
        <v>1262</v>
      </c>
      <c r="D457" s="31">
        <f t="shared" si="87"/>
        <v>23.059999999999981</v>
      </c>
      <c r="E457" s="30">
        <f>26982*1.15</f>
        <v>31029.3</v>
      </c>
      <c r="F457" s="31"/>
      <c r="G457" s="31">
        <v>1.1000000000000001</v>
      </c>
      <c r="H457" s="31">
        <v>1.35</v>
      </c>
      <c r="I457" s="31">
        <v>1.3</v>
      </c>
      <c r="J457" s="31">
        <v>1.0777000000000001</v>
      </c>
      <c r="K457" s="30">
        <f t="shared" si="43"/>
        <v>64556.453995605007</v>
      </c>
      <c r="L457" s="30">
        <f t="shared" si="86"/>
        <v>3201951.0890999725</v>
      </c>
    </row>
    <row r="458" spans="1:12" ht="30" customHeight="1" x14ac:dyDescent="0.2">
      <c r="A458" s="27" t="s">
        <v>1233</v>
      </c>
      <c r="B458" s="27"/>
      <c r="C458" s="27" t="s">
        <v>1263</v>
      </c>
      <c r="D458" s="31">
        <f t="shared" si="87"/>
        <v>23.60149999999998</v>
      </c>
      <c r="E458" s="30">
        <v>25917</v>
      </c>
      <c r="F458" s="31">
        <v>1.1499999999999999</v>
      </c>
      <c r="G458" s="31">
        <v>1.17</v>
      </c>
      <c r="H458" s="31">
        <v>1.35</v>
      </c>
      <c r="I458" s="31">
        <v>1.3</v>
      </c>
      <c r="J458" s="31">
        <v>1.0777000000000001</v>
      </c>
      <c r="K458" s="30">
        <f t="shared" si="43"/>
        <v>65954.348464592258</v>
      </c>
      <c r="L458" s="30">
        <f t="shared" si="86"/>
        <v>3267905.4375645649</v>
      </c>
    </row>
    <row r="459" spans="1:12" ht="30" customHeight="1" x14ac:dyDescent="0.2">
      <c r="A459" s="27" t="s">
        <v>1233</v>
      </c>
      <c r="B459" s="27"/>
      <c r="C459" s="27" t="s">
        <v>1111</v>
      </c>
      <c r="D459" s="31">
        <f>D458+0.616</f>
        <v>24.21749999999998</v>
      </c>
      <c r="E459" s="30">
        <f t="shared" ref="E459:E460" si="88">27050*1.1</f>
        <v>29755.000000000004</v>
      </c>
      <c r="F459" s="31"/>
      <c r="G459" s="31">
        <v>1.17</v>
      </c>
      <c r="H459" s="31">
        <v>1.35</v>
      </c>
      <c r="I459" s="31">
        <v>1.3</v>
      </c>
      <c r="J459" s="31"/>
      <c r="K459" s="30">
        <f t="shared" si="43"/>
        <v>61097.429250000001</v>
      </c>
      <c r="L459" s="65">
        <f t="shared" si="86"/>
        <v>3329002.8668145649</v>
      </c>
    </row>
    <row r="460" spans="1:12" ht="30" customHeight="1" x14ac:dyDescent="0.2">
      <c r="A460" s="27" t="s">
        <v>1264</v>
      </c>
      <c r="B460" s="27"/>
      <c r="C460" s="27" t="s">
        <v>1102</v>
      </c>
      <c r="D460" s="31">
        <v>0</v>
      </c>
      <c r="E460" s="30">
        <f t="shared" si="88"/>
        <v>29755.000000000004</v>
      </c>
      <c r="F460" s="31"/>
      <c r="G460" s="31">
        <v>1.17</v>
      </c>
      <c r="H460" s="31">
        <v>1.35</v>
      </c>
      <c r="I460" s="31">
        <v>1.3</v>
      </c>
      <c r="J460" s="31"/>
      <c r="K460" s="30">
        <f t="shared" si="43"/>
        <v>61097.429250000001</v>
      </c>
      <c r="L460" s="30">
        <f>K460</f>
        <v>61097.429250000001</v>
      </c>
    </row>
    <row r="461" spans="1:12" ht="30" customHeight="1" x14ac:dyDescent="0.2">
      <c r="A461" s="27" t="s">
        <v>1264</v>
      </c>
      <c r="B461" s="27"/>
      <c r="C461" s="27" t="s">
        <v>1234</v>
      </c>
      <c r="D461" s="31">
        <v>0.6</v>
      </c>
      <c r="E461" s="30">
        <v>25917</v>
      </c>
      <c r="F461" s="31">
        <v>1.1499999999999999</v>
      </c>
      <c r="G461" s="31">
        <v>1.17</v>
      </c>
      <c r="H461" s="31">
        <v>1.35</v>
      </c>
      <c r="I461" s="31">
        <v>1.3</v>
      </c>
      <c r="J461" s="31">
        <v>1.0777000000000001</v>
      </c>
      <c r="K461" s="30">
        <f t="shared" si="43"/>
        <v>65954.348464592258</v>
      </c>
      <c r="L461" s="30">
        <f t="shared" ref="L461:L504" si="89">K461+L460</f>
        <v>127051.77771459226</v>
      </c>
    </row>
    <row r="462" spans="1:12" ht="30" customHeight="1" x14ac:dyDescent="0.2">
      <c r="A462" s="27" t="s">
        <v>1264</v>
      </c>
      <c r="B462" s="27"/>
      <c r="C462" s="27" t="s">
        <v>1185</v>
      </c>
      <c r="D462" s="31">
        <f t="shared" ref="D462:D471" si="90">D461+0.5415</f>
        <v>1.1415</v>
      </c>
      <c r="E462" s="30">
        <f>26982*1.15</f>
        <v>31029.3</v>
      </c>
      <c r="F462" s="31">
        <v>1.1499999999999999</v>
      </c>
      <c r="G462" s="31">
        <v>1.1000000000000001</v>
      </c>
      <c r="H462" s="31">
        <v>1.35</v>
      </c>
      <c r="I462" s="31">
        <v>1.3</v>
      </c>
      <c r="J462" s="31">
        <v>1.0777000000000001</v>
      </c>
      <c r="K462" s="30">
        <f t="shared" si="43"/>
        <v>74239.922094945767</v>
      </c>
      <c r="L462" s="30">
        <f t="shared" si="89"/>
        <v>201291.69980953803</v>
      </c>
    </row>
    <row r="463" spans="1:12" ht="30" customHeight="1" x14ac:dyDescent="0.2">
      <c r="A463" s="27" t="s">
        <v>1264</v>
      </c>
      <c r="B463" s="27"/>
      <c r="C463" s="27" t="s">
        <v>1235</v>
      </c>
      <c r="D463" s="31">
        <f t="shared" si="90"/>
        <v>1.6829999999999998</v>
      </c>
      <c r="E463" s="30">
        <v>25917</v>
      </c>
      <c r="F463" s="31">
        <v>1.1499999999999999</v>
      </c>
      <c r="G463" s="31">
        <v>1.17</v>
      </c>
      <c r="H463" s="31">
        <v>1.35</v>
      </c>
      <c r="I463" s="31">
        <v>1.3</v>
      </c>
      <c r="J463" s="31">
        <v>1.0777000000000001</v>
      </c>
      <c r="K463" s="30">
        <f t="shared" si="43"/>
        <v>65954.348464592258</v>
      </c>
      <c r="L463" s="30">
        <f t="shared" si="89"/>
        <v>267246.04827413027</v>
      </c>
    </row>
    <row r="464" spans="1:12" ht="30" customHeight="1" x14ac:dyDescent="0.2">
      <c r="A464" s="27" t="s">
        <v>1264</v>
      </c>
      <c r="B464" s="27"/>
      <c r="C464" s="27" t="s">
        <v>1186</v>
      </c>
      <c r="D464" s="31">
        <f t="shared" si="90"/>
        <v>2.2244999999999999</v>
      </c>
      <c r="E464" s="30">
        <f>26982*1.15</f>
        <v>31029.3</v>
      </c>
      <c r="F464" s="31">
        <v>1.1499999999999999</v>
      </c>
      <c r="G464" s="31">
        <v>1.1000000000000001</v>
      </c>
      <c r="H464" s="31">
        <v>1.35</v>
      </c>
      <c r="I464" s="31">
        <v>1.3</v>
      </c>
      <c r="J464" s="31">
        <v>1.0777000000000001</v>
      </c>
      <c r="K464" s="30">
        <f t="shared" si="43"/>
        <v>74239.922094945767</v>
      </c>
      <c r="L464" s="30">
        <f t="shared" si="89"/>
        <v>341485.97036907601</v>
      </c>
    </row>
    <row r="465" spans="1:12" ht="30" customHeight="1" x14ac:dyDescent="0.2">
      <c r="A465" s="27" t="s">
        <v>1264</v>
      </c>
      <c r="B465" s="27"/>
      <c r="C465" s="27" t="s">
        <v>1236</v>
      </c>
      <c r="D465" s="31">
        <f t="shared" si="90"/>
        <v>2.766</v>
      </c>
      <c r="E465" s="30">
        <v>25917</v>
      </c>
      <c r="F465" s="31">
        <v>1.1499999999999999</v>
      </c>
      <c r="G465" s="31">
        <v>1.17</v>
      </c>
      <c r="H465" s="31">
        <v>1.35</v>
      </c>
      <c r="I465" s="31">
        <v>1.3</v>
      </c>
      <c r="J465" s="31">
        <v>1.0777000000000001</v>
      </c>
      <c r="K465" s="30">
        <f t="shared" si="43"/>
        <v>65954.348464592258</v>
      </c>
      <c r="L465" s="30">
        <f t="shared" si="89"/>
        <v>407440.31883366825</v>
      </c>
    </row>
    <row r="466" spans="1:12" ht="30" customHeight="1" x14ac:dyDescent="0.2">
      <c r="A466" s="27" t="s">
        <v>1264</v>
      </c>
      <c r="B466" s="27"/>
      <c r="C466" s="27" t="s">
        <v>1187</v>
      </c>
      <c r="D466" s="31">
        <f t="shared" si="90"/>
        <v>3.3075000000000001</v>
      </c>
      <c r="E466" s="30">
        <f>26982*1.15</f>
        <v>31029.3</v>
      </c>
      <c r="F466" s="31">
        <v>1.1499999999999999</v>
      </c>
      <c r="G466" s="31">
        <v>1.1000000000000001</v>
      </c>
      <c r="H466" s="31">
        <v>1.35</v>
      </c>
      <c r="I466" s="31">
        <v>1.3</v>
      </c>
      <c r="J466" s="31">
        <v>1.0777000000000001</v>
      </c>
      <c r="K466" s="30">
        <f t="shared" si="43"/>
        <v>74239.922094945767</v>
      </c>
      <c r="L466" s="30">
        <f t="shared" si="89"/>
        <v>481680.24092861405</v>
      </c>
    </row>
    <row r="467" spans="1:12" ht="30" customHeight="1" x14ac:dyDescent="0.2">
      <c r="A467" s="27" t="s">
        <v>1264</v>
      </c>
      <c r="B467" s="27"/>
      <c r="C467" s="27" t="s">
        <v>1237</v>
      </c>
      <c r="D467" s="31">
        <f t="shared" si="90"/>
        <v>3.8490000000000002</v>
      </c>
      <c r="E467" s="30">
        <v>25917</v>
      </c>
      <c r="F467" s="31">
        <v>1.1499999999999999</v>
      </c>
      <c r="G467" s="31">
        <v>1.17</v>
      </c>
      <c r="H467" s="31">
        <v>1.35</v>
      </c>
      <c r="I467" s="31">
        <v>1.3</v>
      </c>
      <c r="J467" s="31">
        <v>1.0777000000000001</v>
      </c>
      <c r="K467" s="30">
        <f t="shared" si="43"/>
        <v>65954.348464592258</v>
      </c>
      <c r="L467" s="30">
        <f t="shared" si="89"/>
        <v>547634.58939320629</v>
      </c>
    </row>
    <row r="468" spans="1:12" ht="30" customHeight="1" x14ac:dyDescent="0.2">
      <c r="A468" s="27" t="s">
        <v>1264</v>
      </c>
      <c r="B468" s="27"/>
      <c r="C468" s="27" t="s">
        <v>1188</v>
      </c>
      <c r="D468" s="31">
        <f t="shared" si="90"/>
        <v>4.3905000000000003</v>
      </c>
      <c r="E468" s="30">
        <f>26982*1.15</f>
        <v>31029.3</v>
      </c>
      <c r="F468" s="31">
        <v>1.1499999999999999</v>
      </c>
      <c r="G468" s="31">
        <v>1.1000000000000001</v>
      </c>
      <c r="H468" s="31">
        <v>1.35</v>
      </c>
      <c r="I468" s="31">
        <v>1.3</v>
      </c>
      <c r="J468" s="31">
        <v>1.0777000000000001</v>
      </c>
      <c r="K468" s="30">
        <f t="shared" si="43"/>
        <v>74239.922094945767</v>
      </c>
      <c r="L468" s="30">
        <f t="shared" si="89"/>
        <v>621874.51148815209</v>
      </c>
    </row>
    <row r="469" spans="1:12" ht="30" customHeight="1" x14ac:dyDescent="0.2">
      <c r="A469" s="27" t="s">
        <v>1264</v>
      </c>
      <c r="B469" s="27"/>
      <c r="C469" s="27" t="s">
        <v>1238</v>
      </c>
      <c r="D469" s="31">
        <f t="shared" si="90"/>
        <v>4.9320000000000004</v>
      </c>
      <c r="E469" s="30">
        <v>25917</v>
      </c>
      <c r="F469" s="31">
        <v>1.1499999999999999</v>
      </c>
      <c r="G469" s="31">
        <v>1.17</v>
      </c>
      <c r="H469" s="31">
        <v>1.35</v>
      </c>
      <c r="I469" s="31">
        <v>1.3</v>
      </c>
      <c r="J469" s="31">
        <v>1.0777000000000001</v>
      </c>
      <c r="K469" s="30">
        <f t="shared" si="43"/>
        <v>65954.348464592258</v>
      </c>
      <c r="L469" s="30">
        <f t="shared" si="89"/>
        <v>687828.85995274433</v>
      </c>
    </row>
    <row r="470" spans="1:12" ht="30" customHeight="1" x14ac:dyDescent="0.2">
      <c r="A470" s="27" t="s">
        <v>1264</v>
      </c>
      <c r="B470" s="27"/>
      <c r="C470" s="27" t="s">
        <v>1189</v>
      </c>
      <c r="D470" s="31">
        <f t="shared" si="90"/>
        <v>5.4735000000000005</v>
      </c>
      <c r="E470" s="30">
        <f>26982*1.15</f>
        <v>31029.3</v>
      </c>
      <c r="F470" s="31">
        <v>1.1499999999999999</v>
      </c>
      <c r="G470" s="31">
        <v>1.1000000000000001</v>
      </c>
      <c r="H470" s="31">
        <v>1.35</v>
      </c>
      <c r="I470" s="31">
        <v>1.3</v>
      </c>
      <c r="J470" s="31">
        <v>1.0777000000000001</v>
      </c>
      <c r="K470" s="30">
        <f t="shared" si="43"/>
        <v>74239.922094945767</v>
      </c>
      <c r="L470" s="30">
        <f t="shared" si="89"/>
        <v>762068.78204769013</v>
      </c>
    </row>
    <row r="471" spans="1:12" ht="30" customHeight="1" x14ac:dyDescent="0.2">
      <c r="A471" s="27" t="s">
        <v>1264</v>
      </c>
      <c r="B471" s="27"/>
      <c r="C471" s="27" t="s">
        <v>1239</v>
      </c>
      <c r="D471" s="31">
        <f t="shared" si="90"/>
        <v>6.0150000000000006</v>
      </c>
      <c r="E471" s="30">
        <v>25917</v>
      </c>
      <c r="F471" s="31">
        <v>1.1499999999999999</v>
      </c>
      <c r="G471" s="31">
        <v>1.17</v>
      </c>
      <c r="H471" s="31">
        <v>1.35</v>
      </c>
      <c r="I471" s="31">
        <v>1.3</v>
      </c>
      <c r="J471" s="31">
        <v>1.0777000000000001</v>
      </c>
      <c r="K471" s="30">
        <f t="shared" si="43"/>
        <v>65954.348464592258</v>
      </c>
      <c r="L471" s="30">
        <f t="shared" si="89"/>
        <v>828023.13051228237</v>
      </c>
    </row>
    <row r="472" spans="1:12" ht="30" customHeight="1" x14ac:dyDescent="0.2">
      <c r="A472" s="27" t="s">
        <v>1264</v>
      </c>
      <c r="B472" s="27"/>
      <c r="C472" s="27" t="s">
        <v>1105</v>
      </c>
      <c r="D472" s="31">
        <f>D471+0.633</f>
        <v>6.6480000000000006</v>
      </c>
      <c r="E472" s="30">
        <f>27050*1.1</f>
        <v>29755.000000000004</v>
      </c>
      <c r="F472" s="31"/>
      <c r="G472" s="31">
        <v>1.17</v>
      </c>
      <c r="H472" s="31">
        <v>1.35</v>
      </c>
      <c r="I472" s="31">
        <v>1.3</v>
      </c>
      <c r="J472" s="31"/>
      <c r="K472" s="30">
        <f t="shared" si="43"/>
        <v>61097.429250000001</v>
      </c>
      <c r="L472" s="30">
        <f t="shared" si="89"/>
        <v>889120.55976228241</v>
      </c>
    </row>
    <row r="473" spans="1:12" ht="30" customHeight="1" x14ac:dyDescent="0.2">
      <c r="A473" s="27" t="s">
        <v>1264</v>
      </c>
      <c r="B473" s="27"/>
      <c r="C473" s="27" t="s">
        <v>1265</v>
      </c>
      <c r="D473" s="31">
        <f>D472+0.967</f>
        <v>7.6150000000000002</v>
      </c>
      <c r="E473" s="30">
        <v>25917</v>
      </c>
      <c r="F473" s="31">
        <v>1.1499999999999999</v>
      </c>
      <c r="G473" s="31">
        <v>1.17</v>
      </c>
      <c r="H473" s="31">
        <v>1.35</v>
      </c>
      <c r="I473" s="31">
        <v>1.3</v>
      </c>
      <c r="J473" s="31">
        <v>1.0777000000000001</v>
      </c>
      <c r="K473" s="30">
        <f t="shared" si="43"/>
        <v>65954.348464592258</v>
      </c>
      <c r="L473" s="30">
        <f t="shared" si="89"/>
        <v>955074.90822687466</v>
      </c>
    </row>
    <row r="474" spans="1:12" ht="30" customHeight="1" x14ac:dyDescent="0.2">
      <c r="A474" s="27" t="s">
        <v>1264</v>
      </c>
      <c r="B474" s="27"/>
      <c r="C474" s="27" t="s">
        <v>1193</v>
      </c>
      <c r="D474" s="31">
        <f t="shared" ref="D474:D483" si="91">D473+0.5415</f>
        <v>8.1564999999999994</v>
      </c>
      <c r="E474" s="30">
        <f>26982*1.15</f>
        <v>31029.3</v>
      </c>
      <c r="F474" s="31">
        <v>1.1499999999999999</v>
      </c>
      <c r="G474" s="31">
        <v>1.1000000000000001</v>
      </c>
      <c r="H474" s="31">
        <v>1.35</v>
      </c>
      <c r="I474" s="31">
        <v>1.3</v>
      </c>
      <c r="J474" s="31">
        <v>1.0777000000000001</v>
      </c>
      <c r="K474" s="30">
        <f t="shared" si="43"/>
        <v>74239.922094945767</v>
      </c>
      <c r="L474" s="30">
        <f t="shared" si="89"/>
        <v>1029314.8303218205</v>
      </c>
    </row>
    <row r="475" spans="1:12" ht="30" customHeight="1" x14ac:dyDescent="0.2">
      <c r="A475" s="27" t="s">
        <v>1264</v>
      </c>
      <c r="B475" s="27"/>
      <c r="C475" s="27" t="s">
        <v>1242</v>
      </c>
      <c r="D475" s="31">
        <f t="shared" si="91"/>
        <v>8.6979999999999986</v>
      </c>
      <c r="E475" s="30">
        <v>25917</v>
      </c>
      <c r="F475" s="31">
        <v>1.1499999999999999</v>
      </c>
      <c r="G475" s="31">
        <v>1.17</v>
      </c>
      <c r="H475" s="31">
        <v>1.35</v>
      </c>
      <c r="I475" s="31">
        <v>1.3</v>
      </c>
      <c r="J475" s="31">
        <v>1.0777000000000001</v>
      </c>
      <c r="K475" s="30">
        <f t="shared" si="43"/>
        <v>65954.348464592258</v>
      </c>
      <c r="L475" s="30">
        <f t="shared" si="89"/>
        <v>1095269.1787864128</v>
      </c>
    </row>
    <row r="476" spans="1:12" ht="30" customHeight="1" x14ac:dyDescent="0.2">
      <c r="A476" s="27" t="s">
        <v>1264</v>
      </c>
      <c r="B476" s="27"/>
      <c r="C476" s="27" t="s">
        <v>1195</v>
      </c>
      <c r="D476" s="31">
        <f t="shared" si="91"/>
        <v>9.2394999999999978</v>
      </c>
      <c r="E476" s="30">
        <f>26982*1.15</f>
        <v>31029.3</v>
      </c>
      <c r="F476" s="31">
        <v>1.1499999999999999</v>
      </c>
      <c r="G476" s="31">
        <v>1.1000000000000001</v>
      </c>
      <c r="H476" s="31">
        <v>1.35</v>
      </c>
      <c r="I476" s="31">
        <v>1.3</v>
      </c>
      <c r="J476" s="31">
        <v>1.0777000000000001</v>
      </c>
      <c r="K476" s="30">
        <f t="shared" si="43"/>
        <v>74239.922094945767</v>
      </c>
      <c r="L476" s="30">
        <f t="shared" si="89"/>
        <v>1169509.1008813586</v>
      </c>
    </row>
    <row r="477" spans="1:12" ht="30" customHeight="1" x14ac:dyDescent="0.2">
      <c r="A477" s="27" t="s">
        <v>1264</v>
      </c>
      <c r="B477" s="27"/>
      <c r="C477" s="27" t="s">
        <v>1244</v>
      </c>
      <c r="D477" s="31">
        <f t="shared" si="91"/>
        <v>9.780999999999997</v>
      </c>
      <c r="E477" s="30">
        <v>25917</v>
      </c>
      <c r="F477" s="31">
        <v>1.1499999999999999</v>
      </c>
      <c r="G477" s="31">
        <v>1.17</v>
      </c>
      <c r="H477" s="31">
        <v>1.35</v>
      </c>
      <c r="I477" s="31">
        <v>1.3</v>
      </c>
      <c r="J477" s="31">
        <v>1.0777000000000001</v>
      </c>
      <c r="K477" s="30">
        <f t="shared" si="43"/>
        <v>65954.348464592258</v>
      </c>
      <c r="L477" s="30">
        <f t="shared" si="89"/>
        <v>1235463.449345951</v>
      </c>
    </row>
    <row r="478" spans="1:12" ht="30" customHeight="1" x14ac:dyDescent="0.2">
      <c r="A478" s="27" t="s">
        <v>1264</v>
      </c>
      <c r="B478" s="27"/>
      <c r="C478" s="27" t="s">
        <v>1197</v>
      </c>
      <c r="D478" s="31">
        <f t="shared" si="91"/>
        <v>10.322499999999996</v>
      </c>
      <c r="E478" s="30">
        <f>26982*1.15</f>
        <v>31029.3</v>
      </c>
      <c r="F478" s="31">
        <v>1.1499999999999999</v>
      </c>
      <c r="G478" s="31">
        <v>1.1000000000000001</v>
      </c>
      <c r="H478" s="31">
        <v>1.35</v>
      </c>
      <c r="I478" s="31">
        <v>1.3</v>
      </c>
      <c r="J478" s="31">
        <v>1.0777000000000001</v>
      </c>
      <c r="K478" s="30">
        <f t="shared" si="43"/>
        <v>74239.922094945767</v>
      </c>
      <c r="L478" s="30">
        <f t="shared" si="89"/>
        <v>1309703.3714408968</v>
      </c>
    </row>
    <row r="479" spans="1:12" ht="30" customHeight="1" x14ac:dyDescent="0.2">
      <c r="A479" s="27" t="s">
        <v>1264</v>
      </c>
      <c r="B479" s="27"/>
      <c r="C479" s="27" t="s">
        <v>1246</v>
      </c>
      <c r="D479" s="31">
        <f t="shared" si="91"/>
        <v>10.863999999999995</v>
      </c>
      <c r="E479" s="30">
        <v>25917</v>
      </c>
      <c r="F479" s="31">
        <v>1.1499999999999999</v>
      </c>
      <c r="G479" s="31">
        <v>1.17</v>
      </c>
      <c r="H479" s="31">
        <v>1.35</v>
      </c>
      <c r="I479" s="31">
        <v>1.3</v>
      </c>
      <c r="J479" s="31">
        <v>1.0777000000000001</v>
      </c>
      <c r="K479" s="30">
        <f t="shared" si="43"/>
        <v>65954.348464592258</v>
      </c>
      <c r="L479" s="30">
        <f t="shared" si="89"/>
        <v>1375657.7199054891</v>
      </c>
    </row>
    <row r="480" spans="1:12" ht="30" customHeight="1" x14ac:dyDescent="0.2">
      <c r="A480" s="27" t="s">
        <v>1264</v>
      </c>
      <c r="B480" s="27"/>
      <c r="C480" s="27" t="s">
        <v>1199</v>
      </c>
      <c r="D480" s="31">
        <f t="shared" si="91"/>
        <v>11.405499999999995</v>
      </c>
      <c r="E480" s="30">
        <f>26982*1.15</f>
        <v>31029.3</v>
      </c>
      <c r="F480" s="31">
        <v>1.1499999999999999</v>
      </c>
      <c r="G480" s="31">
        <v>1.1000000000000001</v>
      </c>
      <c r="H480" s="31">
        <v>1.35</v>
      </c>
      <c r="I480" s="31">
        <v>1.3</v>
      </c>
      <c r="J480" s="31">
        <v>1.0777000000000001</v>
      </c>
      <c r="K480" s="30">
        <f t="shared" si="43"/>
        <v>74239.922094945767</v>
      </c>
      <c r="L480" s="30">
        <f t="shared" si="89"/>
        <v>1449897.6420004349</v>
      </c>
    </row>
    <row r="481" spans="1:12" ht="30" customHeight="1" x14ac:dyDescent="0.2">
      <c r="A481" s="27" t="s">
        <v>1264</v>
      </c>
      <c r="B481" s="27"/>
      <c r="C481" s="27" t="s">
        <v>1248</v>
      </c>
      <c r="D481" s="31">
        <f t="shared" si="91"/>
        <v>11.946999999999994</v>
      </c>
      <c r="E481" s="30">
        <v>25917</v>
      </c>
      <c r="F481" s="31">
        <v>1.1499999999999999</v>
      </c>
      <c r="G481" s="31">
        <v>1.17</v>
      </c>
      <c r="H481" s="31">
        <v>1.35</v>
      </c>
      <c r="I481" s="31">
        <v>1.3</v>
      </c>
      <c r="J481" s="31">
        <v>1.0777000000000001</v>
      </c>
      <c r="K481" s="30">
        <f t="shared" si="43"/>
        <v>65954.348464592258</v>
      </c>
      <c r="L481" s="30">
        <f t="shared" si="89"/>
        <v>1515851.9904650273</v>
      </c>
    </row>
    <row r="482" spans="1:12" ht="30" customHeight="1" x14ac:dyDescent="0.2">
      <c r="A482" s="27" t="s">
        <v>1264</v>
      </c>
      <c r="B482" s="27"/>
      <c r="C482" s="27" t="s">
        <v>1201</v>
      </c>
      <c r="D482" s="31">
        <f t="shared" si="91"/>
        <v>12.488499999999993</v>
      </c>
      <c r="E482" s="30">
        <f>26982*1.15</f>
        <v>31029.3</v>
      </c>
      <c r="F482" s="31">
        <v>1.1499999999999999</v>
      </c>
      <c r="G482" s="31">
        <v>1.1000000000000001</v>
      </c>
      <c r="H482" s="31">
        <v>1.35</v>
      </c>
      <c r="I482" s="31">
        <v>1.3</v>
      </c>
      <c r="J482" s="31">
        <v>1.0777000000000001</v>
      </c>
      <c r="K482" s="30">
        <f t="shared" si="43"/>
        <v>74239.922094945767</v>
      </c>
      <c r="L482" s="30">
        <f t="shared" si="89"/>
        <v>1590091.9125599731</v>
      </c>
    </row>
    <row r="483" spans="1:12" ht="30" customHeight="1" x14ac:dyDescent="0.2">
      <c r="A483" s="27" t="s">
        <v>1264</v>
      </c>
      <c r="B483" s="27"/>
      <c r="C483" s="27" t="s">
        <v>1250</v>
      </c>
      <c r="D483" s="31">
        <f t="shared" si="91"/>
        <v>13.029999999999992</v>
      </c>
      <c r="E483" s="30">
        <v>25917</v>
      </c>
      <c r="F483" s="31">
        <v>1.1499999999999999</v>
      </c>
      <c r="G483" s="31">
        <v>1.17</v>
      </c>
      <c r="H483" s="31">
        <v>1.35</v>
      </c>
      <c r="I483" s="31">
        <v>1.3</v>
      </c>
      <c r="J483" s="31">
        <v>1.0777000000000001</v>
      </c>
      <c r="K483" s="30">
        <f t="shared" si="43"/>
        <v>65954.348464592258</v>
      </c>
      <c r="L483" s="30">
        <f t="shared" si="89"/>
        <v>1656046.2610245654</v>
      </c>
    </row>
    <row r="484" spans="1:12" ht="30" customHeight="1" x14ac:dyDescent="0.2">
      <c r="A484" s="27" t="s">
        <v>1264</v>
      </c>
      <c r="B484" s="27"/>
      <c r="C484" s="27" t="s">
        <v>1108</v>
      </c>
      <c r="D484" s="31">
        <f>D483+0.633</f>
        <v>13.662999999999993</v>
      </c>
      <c r="E484" s="30">
        <f>27050*1.1</f>
        <v>29755.000000000004</v>
      </c>
      <c r="F484" s="31"/>
      <c r="G484" s="31">
        <v>1.17</v>
      </c>
      <c r="H484" s="31">
        <v>1.35</v>
      </c>
      <c r="I484" s="31">
        <v>1.3</v>
      </c>
      <c r="J484" s="31"/>
      <c r="K484" s="30">
        <f t="shared" si="43"/>
        <v>61097.429250000001</v>
      </c>
      <c r="L484" s="30">
        <f t="shared" si="89"/>
        <v>1717143.6902745655</v>
      </c>
    </row>
    <row r="485" spans="1:12" ht="30" customHeight="1" x14ac:dyDescent="0.2">
      <c r="A485" s="27" t="s">
        <v>1264</v>
      </c>
      <c r="B485" s="27"/>
      <c r="C485" s="27" t="s">
        <v>1266</v>
      </c>
      <c r="D485" s="31">
        <f>D484+0.967</f>
        <v>14.629999999999994</v>
      </c>
      <c r="E485" s="30">
        <v>25917</v>
      </c>
      <c r="F485" s="31">
        <v>1.1499999999999999</v>
      </c>
      <c r="G485" s="31">
        <v>1.17</v>
      </c>
      <c r="H485" s="31">
        <v>1.35</v>
      </c>
      <c r="I485" s="31">
        <v>1.3</v>
      </c>
      <c r="J485" s="31">
        <v>1.0777000000000001</v>
      </c>
      <c r="K485" s="30">
        <f t="shared" si="43"/>
        <v>65954.348464592258</v>
      </c>
      <c r="L485" s="30">
        <f t="shared" si="89"/>
        <v>1783098.0387391578</v>
      </c>
    </row>
    <row r="486" spans="1:12" ht="30" customHeight="1" x14ac:dyDescent="0.2">
      <c r="A486" s="27" t="s">
        <v>1264</v>
      </c>
      <c r="B486" s="27"/>
      <c r="C486" s="27" t="s">
        <v>1205</v>
      </c>
      <c r="D486" s="31">
        <f t="shared" ref="D486:D495" si="92">D485+0.5415</f>
        <v>15.171499999999993</v>
      </c>
      <c r="E486" s="30">
        <f>26982*1.15</f>
        <v>31029.3</v>
      </c>
      <c r="F486" s="31">
        <v>1.1499999999999999</v>
      </c>
      <c r="G486" s="31">
        <v>1.1000000000000001</v>
      </c>
      <c r="H486" s="31">
        <v>1.35</v>
      </c>
      <c r="I486" s="31">
        <v>1.3</v>
      </c>
      <c r="J486" s="31">
        <v>1.0777000000000001</v>
      </c>
      <c r="K486" s="30">
        <f t="shared" si="43"/>
        <v>74239.922094945767</v>
      </c>
      <c r="L486" s="30">
        <f t="shared" si="89"/>
        <v>1857337.9608341036</v>
      </c>
    </row>
    <row r="487" spans="1:12" ht="30" customHeight="1" x14ac:dyDescent="0.2">
      <c r="A487" s="27" t="s">
        <v>1264</v>
      </c>
      <c r="B487" s="27"/>
      <c r="C487" s="27" t="s">
        <v>1255</v>
      </c>
      <c r="D487" s="31">
        <f t="shared" si="92"/>
        <v>15.712999999999992</v>
      </c>
      <c r="E487" s="30">
        <v>25917</v>
      </c>
      <c r="F487" s="31">
        <v>1.1499999999999999</v>
      </c>
      <c r="G487" s="31">
        <v>1.17</v>
      </c>
      <c r="H487" s="31">
        <v>1.35</v>
      </c>
      <c r="I487" s="31">
        <v>1.3</v>
      </c>
      <c r="J487" s="31">
        <v>1.0777000000000001</v>
      </c>
      <c r="K487" s="30">
        <f t="shared" si="43"/>
        <v>65954.348464592258</v>
      </c>
      <c r="L487" s="30">
        <f t="shared" si="89"/>
        <v>1923292.309298696</v>
      </c>
    </row>
    <row r="488" spans="1:12" ht="30" customHeight="1" x14ac:dyDescent="0.2">
      <c r="A488" s="27" t="s">
        <v>1264</v>
      </c>
      <c r="B488" s="27"/>
      <c r="C488" s="27" t="s">
        <v>1207</v>
      </c>
      <c r="D488" s="31">
        <f t="shared" si="92"/>
        <v>16.254499999999993</v>
      </c>
      <c r="E488" s="30">
        <f>26982*1.15</f>
        <v>31029.3</v>
      </c>
      <c r="F488" s="31">
        <v>1.1499999999999999</v>
      </c>
      <c r="G488" s="31">
        <v>1.1000000000000001</v>
      </c>
      <c r="H488" s="31">
        <v>1.35</v>
      </c>
      <c r="I488" s="31">
        <v>1.3</v>
      </c>
      <c r="J488" s="31">
        <v>1.0777000000000001</v>
      </c>
      <c r="K488" s="30">
        <f t="shared" si="43"/>
        <v>74239.922094945767</v>
      </c>
      <c r="L488" s="30">
        <f t="shared" si="89"/>
        <v>1997532.2313936418</v>
      </c>
    </row>
    <row r="489" spans="1:12" ht="30" customHeight="1" x14ac:dyDescent="0.2">
      <c r="A489" s="27" t="s">
        <v>1264</v>
      </c>
      <c r="B489" s="27"/>
      <c r="C489" s="27" t="s">
        <v>1257</v>
      </c>
      <c r="D489" s="31">
        <f t="shared" si="92"/>
        <v>16.795999999999992</v>
      </c>
      <c r="E489" s="30">
        <v>25917</v>
      </c>
      <c r="F489" s="31">
        <v>1.1499999999999999</v>
      </c>
      <c r="G489" s="31">
        <v>1.17</v>
      </c>
      <c r="H489" s="31">
        <v>1.35</v>
      </c>
      <c r="I489" s="31">
        <v>1.3</v>
      </c>
      <c r="J489" s="31">
        <v>1.0777000000000001</v>
      </c>
      <c r="K489" s="30">
        <f t="shared" si="43"/>
        <v>65954.348464592258</v>
      </c>
      <c r="L489" s="30">
        <f t="shared" si="89"/>
        <v>2063486.5798582342</v>
      </c>
    </row>
    <row r="490" spans="1:12" ht="30" customHeight="1" x14ac:dyDescent="0.2">
      <c r="A490" s="27" t="s">
        <v>1264</v>
      </c>
      <c r="B490" s="27"/>
      <c r="C490" s="27" t="s">
        <v>1209</v>
      </c>
      <c r="D490" s="31">
        <f t="shared" si="92"/>
        <v>17.337499999999991</v>
      </c>
      <c r="E490" s="30">
        <f>26982*1.15</f>
        <v>31029.3</v>
      </c>
      <c r="F490" s="31">
        <v>1.1499999999999999</v>
      </c>
      <c r="G490" s="31">
        <v>1.1000000000000001</v>
      </c>
      <c r="H490" s="31">
        <v>1.35</v>
      </c>
      <c r="I490" s="31">
        <v>1.3</v>
      </c>
      <c r="J490" s="31">
        <v>1.0777000000000001</v>
      </c>
      <c r="K490" s="30">
        <f t="shared" si="43"/>
        <v>74239.922094945767</v>
      </c>
      <c r="L490" s="30">
        <f t="shared" si="89"/>
        <v>2137726.5019531799</v>
      </c>
    </row>
    <row r="491" spans="1:12" ht="30" customHeight="1" x14ac:dyDescent="0.2">
      <c r="A491" s="27" t="s">
        <v>1264</v>
      </c>
      <c r="B491" s="27"/>
      <c r="C491" s="27" t="s">
        <v>1259</v>
      </c>
      <c r="D491" s="31">
        <f t="shared" si="92"/>
        <v>17.878999999999991</v>
      </c>
      <c r="E491" s="30">
        <v>25917</v>
      </c>
      <c r="F491" s="31">
        <v>1.1499999999999999</v>
      </c>
      <c r="G491" s="31">
        <v>1.17</v>
      </c>
      <c r="H491" s="31">
        <v>1.35</v>
      </c>
      <c r="I491" s="31">
        <v>1.3</v>
      </c>
      <c r="J491" s="31">
        <v>1.0777000000000001</v>
      </c>
      <c r="K491" s="30">
        <f t="shared" si="43"/>
        <v>65954.348464592258</v>
      </c>
      <c r="L491" s="30">
        <f t="shared" si="89"/>
        <v>2203680.8504177723</v>
      </c>
    </row>
    <row r="492" spans="1:12" ht="30" customHeight="1" x14ac:dyDescent="0.2">
      <c r="A492" s="27" t="s">
        <v>1264</v>
      </c>
      <c r="B492" s="27"/>
      <c r="C492" s="27" t="s">
        <v>1211</v>
      </c>
      <c r="D492" s="31">
        <f t="shared" si="92"/>
        <v>18.42049999999999</v>
      </c>
      <c r="E492" s="30">
        <f>26982*1.15</f>
        <v>31029.3</v>
      </c>
      <c r="F492" s="31">
        <v>1.1499999999999999</v>
      </c>
      <c r="G492" s="31">
        <v>1.1000000000000001</v>
      </c>
      <c r="H492" s="31">
        <v>1.35</v>
      </c>
      <c r="I492" s="31">
        <v>1.3</v>
      </c>
      <c r="J492" s="31">
        <v>1.0777000000000001</v>
      </c>
      <c r="K492" s="30">
        <f t="shared" si="43"/>
        <v>74239.922094945767</v>
      </c>
      <c r="L492" s="30">
        <f t="shared" si="89"/>
        <v>2277920.7725127181</v>
      </c>
    </row>
    <row r="493" spans="1:12" ht="30" customHeight="1" x14ac:dyDescent="0.2">
      <c r="A493" s="27" t="s">
        <v>1264</v>
      </c>
      <c r="B493" s="27"/>
      <c r="C493" s="27" t="s">
        <v>1261</v>
      </c>
      <c r="D493" s="31">
        <f t="shared" si="92"/>
        <v>18.961999999999989</v>
      </c>
      <c r="E493" s="30">
        <v>25917</v>
      </c>
      <c r="F493" s="31">
        <v>1.1499999999999999</v>
      </c>
      <c r="G493" s="31">
        <v>1.17</v>
      </c>
      <c r="H493" s="31">
        <v>1.35</v>
      </c>
      <c r="I493" s="31">
        <v>1.3</v>
      </c>
      <c r="J493" s="31">
        <v>1.0777000000000001</v>
      </c>
      <c r="K493" s="30">
        <f t="shared" si="43"/>
        <v>65954.348464592258</v>
      </c>
      <c r="L493" s="30">
        <f t="shared" si="89"/>
        <v>2343875.1209773105</v>
      </c>
    </row>
    <row r="494" spans="1:12" ht="30" customHeight="1" x14ac:dyDescent="0.2">
      <c r="A494" s="27" t="s">
        <v>1264</v>
      </c>
      <c r="B494" s="27"/>
      <c r="C494" s="27" t="s">
        <v>1213</v>
      </c>
      <c r="D494" s="31">
        <f t="shared" si="92"/>
        <v>19.503499999999988</v>
      </c>
      <c r="E494" s="30">
        <f>26982*1.15</f>
        <v>31029.3</v>
      </c>
      <c r="F494" s="31">
        <v>1.1499999999999999</v>
      </c>
      <c r="G494" s="31">
        <v>1.1000000000000001</v>
      </c>
      <c r="H494" s="31">
        <v>1.35</v>
      </c>
      <c r="I494" s="31">
        <v>1.3</v>
      </c>
      <c r="J494" s="31">
        <v>1.0777000000000001</v>
      </c>
      <c r="K494" s="30">
        <f t="shared" si="43"/>
        <v>74239.922094945767</v>
      </c>
      <c r="L494" s="30">
        <f t="shared" si="89"/>
        <v>2418115.0430722563</v>
      </c>
    </row>
    <row r="495" spans="1:12" ht="30" customHeight="1" x14ac:dyDescent="0.2">
      <c r="A495" s="27" t="s">
        <v>1264</v>
      </c>
      <c r="B495" s="27"/>
      <c r="C495" s="27" t="s">
        <v>1263</v>
      </c>
      <c r="D495" s="31">
        <f t="shared" si="92"/>
        <v>20.044999999999987</v>
      </c>
      <c r="E495" s="30">
        <v>25917</v>
      </c>
      <c r="F495" s="31">
        <v>1.1499999999999999</v>
      </c>
      <c r="G495" s="31">
        <v>1.17</v>
      </c>
      <c r="H495" s="31">
        <v>1.35</v>
      </c>
      <c r="I495" s="31">
        <v>1.3</v>
      </c>
      <c r="J495" s="31">
        <v>1.0777000000000001</v>
      </c>
      <c r="K495" s="30">
        <f t="shared" si="43"/>
        <v>65954.348464592258</v>
      </c>
      <c r="L495" s="30">
        <f t="shared" si="89"/>
        <v>2484069.3915368486</v>
      </c>
    </row>
    <row r="496" spans="1:12" ht="30" customHeight="1" x14ac:dyDescent="0.2">
      <c r="A496" s="27" t="s">
        <v>1264</v>
      </c>
      <c r="B496" s="27"/>
      <c r="C496" s="27" t="s">
        <v>1111</v>
      </c>
      <c r="D496" s="31">
        <f>D495+0.633</f>
        <v>20.677999999999987</v>
      </c>
      <c r="E496" s="30">
        <f>27050*1.1</f>
        <v>29755.000000000004</v>
      </c>
      <c r="F496" s="31"/>
      <c r="G496" s="31">
        <v>1.17</v>
      </c>
      <c r="H496" s="31">
        <v>1.35</v>
      </c>
      <c r="I496" s="31">
        <v>1.3</v>
      </c>
      <c r="J496" s="31"/>
      <c r="K496" s="30">
        <f t="shared" si="43"/>
        <v>61097.429250000001</v>
      </c>
      <c r="L496" s="30">
        <f t="shared" si="89"/>
        <v>2545166.8207868487</v>
      </c>
    </row>
    <row r="497" spans="1:12" ht="30" customHeight="1" x14ac:dyDescent="0.2">
      <c r="A497" s="27" t="s">
        <v>1264</v>
      </c>
      <c r="B497" s="27"/>
      <c r="C497" s="27" t="s">
        <v>1267</v>
      </c>
      <c r="D497" s="31">
        <f>D496+0.967</f>
        <v>21.644999999999985</v>
      </c>
      <c r="E497" s="30">
        <v>25917</v>
      </c>
      <c r="F497" s="31">
        <v>1.1499999999999999</v>
      </c>
      <c r="G497" s="31">
        <v>1.17</v>
      </c>
      <c r="H497" s="31">
        <v>1.35</v>
      </c>
      <c r="I497" s="31">
        <v>1.3</v>
      </c>
      <c r="J497" s="31">
        <v>1.0777000000000001</v>
      </c>
      <c r="K497" s="30">
        <f t="shared" si="43"/>
        <v>65954.348464592258</v>
      </c>
      <c r="L497" s="30">
        <f t="shared" si="89"/>
        <v>2611121.169251441</v>
      </c>
    </row>
    <row r="498" spans="1:12" ht="30" customHeight="1" x14ac:dyDescent="0.2">
      <c r="A498" s="27" t="s">
        <v>1264</v>
      </c>
      <c r="B498" s="27"/>
      <c r="C498" s="27" t="s">
        <v>1217</v>
      </c>
      <c r="D498" s="31">
        <f t="shared" ref="D498:D502" si="93">D497+0.5415</f>
        <v>22.186499999999985</v>
      </c>
      <c r="E498" s="30">
        <f>26982*1.15</f>
        <v>31029.3</v>
      </c>
      <c r="F498" s="31">
        <v>1.1499999999999999</v>
      </c>
      <c r="G498" s="31">
        <v>1.1000000000000001</v>
      </c>
      <c r="H498" s="31">
        <v>1.35</v>
      </c>
      <c r="I498" s="31">
        <v>1.3</v>
      </c>
      <c r="J498" s="31">
        <v>1.0777000000000001</v>
      </c>
      <c r="K498" s="30">
        <f t="shared" si="43"/>
        <v>74239.922094945767</v>
      </c>
      <c r="L498" s="30">
        <f t="shared" si="89"/>
        <v>2685361.0913463868</v>
      </c>
    </row>
    <row r="499" spans="1:12" ht="30" customHeight="1" x14ac:dyDescent="0.2">
      <c r="A499" s="27" t="s">
        <v>1264</v>
      </c>
      <c r="B499" s="27"/>
      <c r="C499" s="27" t="s">
        <v>1268</v>
      </c>
      <c r="D499" s="31">
        <f t="shared" si="93"/>
        <v>22.727999999999984</v>
      </c>
      <c r="E499" s="30">
        <v>25917</v>
      </c>
      <c r="F499" s="31">
        <v>1.1499999999999999</v>
      </c>
      <c r="G499" s="31">
        <v>1.17</v>
      </c>
      <c r="H499" s="31">
        <v>1.35</v>
      </c>
      <c r="I499" s="31">
        <v>1.3</v>
      </c>
      <c r="J499" s="31">
        <v>1.0777000000000001</v>
      </c>
      <c r="K499" s="30">
        <f t="shared" si="43"/>
        <v>65954.348464592258</v>
      </c>
      <c r="L499" s="30">
        <f t="shared" si="89"/>
        <v>2751315.4398109792</v>
      </c>
    </row>
    <row r="500" spans="1:12" ht="30" customHeight="1" x14ac:dyDescent="0.2">
      <c r="A500" s="27" t="s">
        <v>1264</v>
      </c>
      <c r="B500" s="27"/>
      <c r="C500" s="27" t="s">
        <v>1219</v>
      </c>
      <c r="D500" s="31">
        <f t="shared" si="93"/>
        <v>23.269499999999983</v>
      </c>
      <c r="E500" s="30">
        <f>26982*1.15</f>
        <v>31029.3</v>
      </c>
      <c r="F500" s="31">
        <v>1.1499999999999999</v>
      </c>
      <c r="G500" s="31">
        <v>1.1000000000000001</v>
      </c>
      <c r="H500" s="31">
        <v>1.35</v>
      </c>
      <c r="I500" s="31">
        <v>1.3</v>
      </c>
      <c r="J500" s="31">
        <v>1.0777000000000001</v>
      </c>
      <c r="K500" s="30">
        <f t="shared" si="43"/>
        <v>74239.922094945767</v>
      </c>
      <c r="L500" s="30">
        <f t="shared" si="89"/>
        <v>2825555.361905925</v>
      </c>
    </row>
    <row r="501" spans="1:12" ht="30" customHeight="1" x14ac:dyDescent="0.2">
      <c r="A501" s="27" t="s">
        <v>1264</v>
      </c>
      <c r="B501" s="27"/>
      <c r="C501" s="27" t="s">
        <v>1269</v>
      </c>
      <c r="D501" s="31">
        <f t="shared" si="93"/>
        <v>23.810999999999982</v>
      </c>
      <c r="E501" s="30">
        <v>25917</v>
      </c>
      <c r="F501" s="31">
        <v>1.1499999999999999</v>
      </c>
      <c r="G501" s="31">
        <v>1.17</v>
      </c>
      <c r="H501" s="31">
        <v>1.35</v>
      </c>
      <c r="I501" s="31">
        <v>1.3</v>
      </c>
      <c r="J501" s="31">
        <v>1.0777000000000001</v>
      </c>
      <c r="K501" s="30">
        <f t="shared" si="43"/>
        <v>65954.348464592258</v>
      </c>
      <c r="L501" s="30">
        <f t="shared" si="89"/>
        <v>2891509.7103705173</v>
      </c>
    </row>
    <row r="502" spans="1:12" ht="30" customHeight="1" x14ac:dyDescent="0.2">
      <c r="A502" s="27" t="s">
        <v>1264</v>
      </c>
      <c r="B502" s="27"/>
      <c r="C502" s="27" t="s">
        <v>1221</v>
      </c>
      <c r="D502" s="31">
        <f t="shared" si="93"/>
        <v>24.352499999999981</v>
      </c>
      <c r="E502" s="30">
        <f>26982*1.15</f>
        <v>31029.3</v>
      </c>
      <c r="F502" s="31">
        <v>1.1499999999999999</v>
      </c>
      <c r="G502" s="31">
        <v>1.1000000000000001</v>
      </c>
      <c r="H502" s="31">
        <v>1.35</v>
      </c>
      <c r="I502" s="31">
        <v>1.3</v>
      </c>
      <c r="J502" s="31">
        <v>1.0777000000000001</v>
      </c>
      <c r="K502" s="30">
        <f t="shared" si="43"/>
        <v>74239.922094945767</v>
      </c>
      <c r="L502" s="30">
        <f t="shared" si="89"/>
        <v>2965749.6324654631</v>
      </c>
    </row>
    <row r="503" spans="1:12" ht="30" customHeight="1" x14ac:dyDescent="0.2">
      <c r="A503" s="27" t="s">
        <v>1264</v>
      </c>
      <c r="B503" s="27"/>
      <c r="C503" s="27" t="s">
        <v>1114</v>
      </c>
      <c r="D503" s="31">
        <f>D502+0.633</f>
        <v>24.985499999999981</v>
      </c>
      <c r="E503" s="30">
        <f>27050*1.1</f>
        <v>29755.000000000004</v>
      </c>
      <c r="F503" s="31"/>
      <c r="G503" s="31">
        <v>1.17</v>
      </c>
      <c r="H503" s="31">
        <v>1.35</v>
      </c>
      <c r="I503" s="31">
        <v>1.3</v>
      </c>
      <c r="J503" s="31"/>
      <c r="K503" s="30">
        <f t="shared" si="43"/>
        <v>61097.429250000001</v>
      </c>
      <c r="L503" s="30">
        <f t="shared" si="89"/>
        <v>3026847.0617154632</v>
      </c>
    </row>
    <row r="504" spans="1:12" ht="30" customHeight="1" x14ac:dyDescent="0.2">
      <c r="A504" s="27" t="s">
        <v>1264</v>
      </c>
      <c r="B504" s="27"/>
      <c r="C504" s="27" t="s">
        <v>1270</v>
      </c>
      <c r="D504" s="31">
        <f>D503+0.967</f>
        <v>25.952499999999979</v>
      </c>
      <c r="E504" s="30">
        <f>26982*1.15</f>
        <v>31029.3</v>
      </c>
      <c r="F504" s="31">
        <v>1.1499999999999999</v>
      </c>
      <c r="G504" s="31">
        <v>1.1000000000000001</v>
      </c>
      <c r="H504" s="31">
        <v>1.35</v>
      </c>
      <c r="I504" s="31">
        <v>1.3</v>
      </c>
      <c r="J504" s="31">
        <v>1.0777000000000001</v>
      </c>
      <c r="K504" s="30">
        <f t="shared" si="43"/>
        <v>74239.922094945767</v>
      </c>
      <c r="L504" s="65">
        <f t="shared" si="89"/>
        <v>3101086.983810409</v>
      </c>
    </row>
    <row r="505" spans="1:12" ht="30" customHeight="1" x14ac:dyDescent="0.2">
      <c r="A505" s="27" t="s">
        <v>1271</v>
      </c>
      <c r="B505" s="27"/>
      <c r="C505" s="27" t="s">
        <v>1223</v>
      </c>
      <c r="D505" s="31">
        <v>0.35</v>
      </c>
      <c r="E505" s="30">
        <v>71544</v>
      </c>
      <c r="F505" s="31"/>
      <c r="G505" s="31">
        <v>1.17</v>
      </c>
      <c r="H505" s="31">
        <v>1.35</v>
      </c>
      <c r="I505" s="31">
        <v>1.3</v>
      </c>
      <c r="J505" s="31"/>
      <c r="K505" s="30">
        <f t="shared" si="43"/>
        <v>146904.87240000002</v>
      </c>
      <c r="L505" s="30">
        <f>K505</f>
        <v>146904.87240000002</v>
      </c>
    </row>
    <row r="506" spans="1:12" ht="30" customHeight="1" x14ac:dyDescent="0.2">
      <c r="A506" s="27" t="s">
        <v>1271</v>
      </c>
      <c r="B506" s="27"/>
      <c r="C506" s="27" t="s">
        <v>1050</v>
      </c>
      <c r="D506" s="31">
        <f>0.3+0.166</f>
        <v>0.46599999999999997</v>
      </c>
      <c r="E506" s="30">
        <f t="shared" ref="E506:E507" si="94">13686*1.15</f>
        <v>15738.9</v>
      </c>
      <c r="F506" s="31">
        <v>1.66</v>
      </c>
      <c r="G506" s="31">
        <v>1.1000000000000001</v>
      </c>
      <c r="H506" s="31">
        <v>1.35</v>
      </c>
      <c r="I506" s="31">
        <v>1.3</v>
      </c>
      <c r="J506" s="31">
        <v>1.0777000000000001</v>
      </c>
      <c r="K506" s="30">
        <f t="shared" si="43"/>
        <v>54356.333288013906</v>
      </c>
      <c r="L506" s="30">
        <f t="shared" ref="L506:L568" si="95">K506+L505</f>
        <v>201261.20568801393</v>
      </c>
    </row>
    <row r="507" spans="1:12" ht="30" customHeight="1" x14ac:dyDescent="0.2">
      <c r="A507" s="27" t="s">
        <v>1271</v>
      </c>
      <c r="B507" s="27"/>
      <c r="C507" s="27" t="s">
        <v>1051</v>
      </c>
      <c r="D507" s="31">
        <f>D506+0.416</f>
        <v>0.8819999999999999</v>
      </c>
      <c r="E507" s="30">
        <f t="shared" si="94"/>
        <v>15738.9</v>
      </c>
      <c r="F507" s="31">
        <v>1.66</v>
      </c>
      <c r="G507" s="31">
        <v>1.1000000000000001</v>
      </c>
      <c r="H507" s="31">
        <v>1.35</v>
      </c>
      <c r="I507" s="31">
        <v>1.3</v>
      </c>
      <c r="J507" s="31">
        <v>1.0777000000000001</v>
      </c>
      <c r="K507" s="30">
        <f t="shared" si="43"/>
        <v>54356.333288013906</v>
      </c>
      <c r="L507" s="30">
        <f t="shared" si="95"/>
        <v>255617.53897602783</v>
      </c>
    </row>
    <row r="508" spans="1:12" ht="30" customHeight="1" x14ac:dyDescent="0.2">
      <c r="A508" s="27" t="s">
        <v>1271</v>
      </c>
      <c r="B508" s="27"/>
      <c r="C508" s="27" t="s">
        <v>1272</v>
      </c>
      <c r="D508" s="31">
        <f>D507+0.316+0.166</f>
        <v>1.3639999999999999</v>
      </c>
      <c r="E508" s="30">
        <v>13686</v>
      </c>
      <c r="F508" s="31"/>
      <c r="G508" s="31">
        <v>1.17</v>
      </c>
      <c r="H508" s="31">
        <v>1.35</v>
      </c>
      <c r="I508" s="31">
        <v>1.3</v>
      </c>
      <c r="J508" s="31">
        <v>1.0777000000000001</v>
      </c>
      <c r="K508" s="30">
        <f t="shared" si="43"/>
        <v>30285.685007370004</v>
      </c>
      <c r="L508" s="30">
        <f t="shared" si="95"/>
        <v>285903.22398339782</v>
      </c>
    </row>
    <row r="509" spans="1:12" ht="30" customHeight="1" x14ac:dyDescent="0.2">
      <c r="A509" s="27" t="s">
        <v>1271</v>
      </c>
      <c r="B509" s="27"/>
      <c r="C509" s="27" t="s">
        <v>1273</v>
      </c>
      <c r="D509" s="31">
        <f t="shared" ref="D509:D511" si="96">D508+0.416</f>
        <v>1.7799999999999998</v>
      </c>
      <c r="E509" s="30">
        <v>13686</v>
      </c>
      <c r="F509" s="31"/>
      <c r="G509" s="31">
        <v>1.22</v>
      </c>
      <c r="H509" s="31">
        <v>1.35</v>
      </c>
      <c r="I509" s="31">
        <v>1.3</v>
      </c>
      <c r="J509" s="31">
        <v>1.0777000000000001</v>
      </c>
      <c r="K509" s="30">
        <f t="shared" si="43"/>
        <v>31579.945050420003</v>
      </c>
      <c r="L509" s="30">
        <f t="shared" si="95"/>
        <v>317483.16903381783</v>
      </c>
    </row>
    <row r="510" spans="1:12" ht="30" customHeight="1" x14ac:dyDescent="0.2">
      <c r="A510" s="27" t="s">
        <v>1271</v>
      </c>
      <c r="B510" s="27"/>
      <c r="C510" s="27" t="s">
        <v>1274</v>
      </c>
      <c r="D510" s="31">
        <f t="shared" si="96"/>
        <v>2.1959999999999997</v>
      </c>
      <c r="E510" s="30">
        <v>13686</v>
      </c>
      <c r="F510" s="31"/>
      <c r="G510" s="31">
        <v>1.22</v>
      </c>
      <c r="H510" s="31">
        <v>1.35</v>
      </c>
      <c r="I510" s="31">
        <v>1.3</v>
      </c>
      <c r="J510" s="31">
        <v>1.0777000000000001</v>
      </c>
      <c r="K510" s="30">
        <f t="shared" si="43"/>
        <v>31579.945050420003</v>
      </c>
      <c r="L510" s="30">
        <f t="shared" si="95"/>
        <v>349063.11408423784</v>
      </c>
    </row>
    <row r="511" spans="1:12" ht="30" customHeight="1" x14ac:dyDescent="0.2">
      <c r="A511" s="27" t="s">
        <v>1271</v>
      </c>
      <c r="B511" s="27"/>
      <c r="C511" s="27" t="s">
        <v>1275</v>
      </c>
      <c r="D511" s="31">
        <f t="shared" si="96"/>
        <v>2.6119999999999997</v>
      </c>
      <c r="E511" s="30">
        <v>13686</v>
      </c>
      <c r="F511" s="31"/>
      <c r="G511" s="31">
        <v>1.22</v>
      </c>
      <c r="H511" s="31">
        <v>1.35</v>
      </c>
      <c r="I511" s="31">
        <v>1.3</v>
      </c>
      <c r="J511" s="31">
        <v>1.0777000000000001</v>
      </c>
      <c r="K511" s="30">
        <f t="shared" si="43"/>
        <v>31579.945050420003</v>
      </c>
      <c r="L511" s="30">
        <f t="shared" si="95"/>
        <v>380643.05913465784</v>
      </c>
    </row>
    <row r="512" spans="1:12" ht="30" customHeight="1" x14ac:dyDescent="0.2">
      <c r="A512" s="27" t="s">
        <v>1271</v>
      </c>
      <c r="B512" s="27"/>
      <c r="C512" s="27" t="s">
        <v>1224</v>
      </c>
      <c r="D512" s="31">
        <f>D511+0.316+0.216+0.35</f>
        <v>3.4939999999999998</v>
      </c>
      <c r="E512" s="30">
        <v>71544</v>
      </c>
      <c r="F512" s="31"/>
      <c r="G512" s="31">
        <v>1.22</v>
      </c>
      <c r="H512" s="31">
        <v>1.35</v>
      </c>
      <c r="I512" s="31">
        <v>1.3</v>
      </c>
      <c r="J512" s="31"/>
      <c r="K512" s="30">
        <f t="shared" ref="K512:K766" si="97">PRODUCT(E512:J512)</f>
        <v>153182.8584</v>
      </c>
      <c r="L512" s="30">
        <f t="shared" si="95"/>
        <v>533825.91753465787</v>
      </c>
    </row>
    <row r="513" spans="1:12" ht="30" customHeight="1" x14ac:dyDescent="0.2">
      <c r="A513" s="27" t="s">
        <v>1271</v>
      </c>
      <c r="B513" s="27"/>
      <c r="C513" s="27" t="s">
        <v>1061</v>
      </c>
      <c r="D513" s="31">
        <f>D512-0.35+0.466</f>
        <v>3.61</v>
      </c>
      <c r="E513" s="30">
        <f t="shared" ref="E513:E514" si="98">13686*1.15</f>
        <v>15738.9</v>
      </c>
      <c r="F513" s="31"/>
      <c r="G513" s="31"/>
      <c r="H513" s="31">
        <v>1.35</v>
      </c>
      <c r="I513" s="31">
        <v>1.3</v>
      </c>
      <c r="J513" s="31">
        <v>1.0777000000000001</v>
      </c>
      <c r="K513" s="30">
        <f t="shared" si="97"/>
        <v>29767.980990150001</v>
      </c>
      <c r="L513" s="30">
        <f t="shared" si="95"/>
        <v>563593.89852480788</v>
      </c>
    </row>
    <row r="514" spans="1:12" ht="30" customHeight="1" x14ac:dyDescent="0.2">
      <c r="A514" s="27" t="s">
        <v>1271</v>
      </c>
      <c r="B514" s="27"/>
      <c r="C514" s="27" t="s">
        <v>1062</v>
      </c>
      <c r="D514" s="31">
        <f>D513+0.416</f>
        <v>4.0259999999999998</v>
      </c>
      <c r="E514" s="30">
        <f t="shared" si="98"/>
        <v>15738.9</v>
      </c>
      <c r="F514" s="31">
        <v>2.2330000000000001</v>
      </c>
      <c r="G514" s="31"/>
      <c r="H514" s="31">
        <v>1.35</v>
      </c>
      <c r="I514" s="31">
        <v>1.3</v>
      </c>
      <c r="J514" s="31">
        <v>1.0777000000000001</v>
      </c>
      <c r="K514" s="30">
        <f t="shared" si="97"/>
        <v>66471.901551004965</v>
      </c>
      <c r="L514" s="30">
        <f t="shared" si="95"/>
        <v>630065.80007581285</v>
      </c>
    </row>
    <row r="515" spans="1:12" ht="30" customHeight="1" x14ac:dyDescent="0.2">
      <c r="A515" s="27" t="s">
        <v>1271</v>
      </c>
      <c r="B515" s="27"/>
      <c r="C515" s="27" t="s">
        <v>1276</v>
      </c>
      <c r="D515" s="31">
        <f>D514+0.316+0.166</f>
        <v>4.508</v>
      </c>
      <c r="E515" s="30">
        <v>13686</v>
      </c>
      <c r="F515" s="31">
        <v>1.2</v>
      </c>
      <c r="G515" s="31">
        <v>1.22</v>
      </c>
      <c r="H515" s="31">
        <v>1.35</v>
      </c>
      <c r="I515" s="31">
        <v>1.3</v>
      </c>
      <c r="J515" s="31">
        <v>1.0777000000000001</v>
      </c>
      <c r="K515" s="30">
        <f t="shared" si="97"/>
        <v>37895.934060504005</v>
      </c>
      <c r="L515" s="30">
        <f t="shared" si="95"/>
        <v>667961.73413631681</v>
      </c>
    </row>
    <row r="516" spans="1:12" ht="30" customHeight="1" x14ac:dyDescent="0.2">
      <c r="A516" s="27" t="s">
        <v>1271</v>
      </c>
      <c r="B516" s="27"/>
      <c r="C516" s="27" t="s">
        <v>1277</v>
      </c>
      <c r="D516" s="31">
        <f t="shared" ref="D516:D518" si="99">D515+0.416</f>
        <v>4.9240000000000004</v>
      </c>
      <c r="E516" s="30">
        <v>13686</v>
      </c>
      <c r="F516" s="31">
        <v>1.2</v>
      </c>
      <c r="G516" s="31">
        <v>1.22</v>
      </c>
      <c r="H516" s="31">
        <v>1.35</v>
      </c>
      <c r="I516" s="31">
        <v>1.3</v>
      </c>
      <c r="J516" s="31">
        <v>1.0777000000000001</v>
      </c>
      <c r="K516" s="30">
        <f t="shared" si="97"/>
        <v>37895.934060504005</v>
      </c>
      <c r="L516" s="30">
        <f t="shared" si="95"/>
        <v>705857.66819682077</v>
      </c>
    </row>
    <row r="517" spans="1:12" ht="30" customHeight="1" x14ac:dyDescent="0.2">
      <c r="A517" s="27" t="s">
        <v>1271</v>
      </c>
      <c r="B517" s="27"/>
      <c r="C517" s="27" t="s">
        <v>1278</v>
      </c>
      <c r="D517" s="31">
        <f t="shared" si="99"/>
        <v>5.3400000000000007</v>
      </c>
      <c r="E517" s="30">
        <v>13686</v>
      </c>
      <c r="F517" s="31">
        <v>1.2</v>
      </c>
      <c r="G517" s="31">
        <v>1.22</v>
      </c>
      <c r="H517" s="31">
        <v>1.35</v>
      </c>
      <c r="I517" s="31">
        <v>1.3</v>
      </c>
      <c r="J517" s="31">
        <v>1.0777000000000001</v>
      </c>
      <c r="K517" s="30">
        <f t="shared" si="97"/>
        <v>37895.934060504005</v>
      </c>
      <c r="L517" s="30">
        <f t="shared" si="95"/>
        <v>743753.60225732473</v>
      </c>
    </row>
    <row r="518" spans="1:12" ht="30" customHeight="1" x14ac:dyDescent="0.2">
      <c r="A518" s="27" t="s">
        <v>1271</v>
      </c>
      <c r="B518" s="27"/>
      <c r="C518" s="27" t="s">
        <v>1279</v>
      </c>
      <c r="D518" s="31">
        <f t="shared" si="99"/>
        <v>5.7560000000000011</v>
      </c>
      <c r="E518" s="30">
        <v>13686</v>
      </c>
      <c r="F518" s="31">
        <v>1.2</v>
      </c>
      <c r="G518" s="31">
        <v>1.22</v>
      </c>
      <c r="H518" s="31">
        <v>1.35</v>
      </c>
      <c r="I518" s="31">
        <v>1.3</v>
      </c>
      <c r="J518" s="31">
        <v>1.0777000000000001</v>
      </c>
      <c r="K518" s="30">
        <f t="shared" si="97"/>
        <v>37895.934060504005</v>
      </c>
      <c r="L518" s="30">
        <f t="shared" si="95"/>
        <v>781649.53631782869</v>
      </c>
    </row>
    <row r="519" spans="1:12" ht="30" customHeight="1" x14ac:dyDescent="0.2">
      <c r="A519" s="27" t="s">
        <v>1271</v>
      </c>
      <c r="B519" s="27"/>
      <c r="C519" s="27" t="s">
        <v>1280</v>
      </c>
      <c r="D519" s="31">
        <f>D518+1.183+0.316+0.216</f>
        <v>7.471000000000001</v>
      </c>
      <c r="E519" s="30">
        <v>71544</v>
      </c>
      <c r="F519" s="31"/>
      <c r="G519" s="31">
        <v>1.22</v>
      </c>
      <c r="H519" s="31">
        <v>1.35</v>
      </c>
      <c r="I519" s="31">
        <v>1.3</v>
      </c>
      <c r="J519" s="31"/>
      <c r="K519" s="30">
        <f t="shared" si="97"/>
        <v>153182.8584</v>
      </c>
      <c r="L519" s="30">
        <f t="shared" si="95"/>
        <v>934832.39471782872</v>
      </c>
    </row>
    <row r="520" spans="1:12" ht="30" customHeight="1" x14ac:dyDescent="0.2">
      <c r="A520" s="27" t="s">
        <v>1271</v>
      </c>
      <c r="B520" s="27"/>
      <c r="C520" s="27" t="s">
        <v>1072</v>
      </c>
      <c r="D520" s="31">
        <f>D519-0.35+0.466</f>
        <v>7.5870000000000015</v>
      </c>
      <c r="E520" s="30">
        <f t="shared" ref="E520:E521" si="100">13686*1.15</f>
        <v>15738.9</v>
      </c>
      <c r="F520" s="31"/>
      <c r="G520" s="31"/>
      <c r="H520" s="31">
        <v>1.35</v>
      </c>
      <c r="I520" s="31">
        <v>1.3</v>
      </c>
      <c r="J520" s="31">
        <v>1.0777000000000001</v>
      </c>
      <c r="K520" s="30">
        <f t="shared" si="97"/>
        <v>29767.980990150001</v>
      </c>
      <c r="L520" s="30">
        <f t="shared" si="95"/>
        <v>964600.37570797873</v>
      </c>
    </row>
    <row r="521" spans="1:12" ht="30" customHeight="1" x14ac:dyDescent="0.2">
      <c r="A521" s="27" t="s">
        <v>1271</v>
      </c>
      <c r="B521" s="27"/>
      <c r="C521" s="27" t="s">
        <v>1073</v>
      </c>
      <c r="D521" s="31">
        <f>D520+0.416</f>
        <v>8.0030000000000019</v>
      </c>
      <c r="E521" s="30">
        <f t="shared" si="100"/>
        <v>15738.9</v>
      </c>
      <c r="F521" s="31">
        <v>2.2330000000000001</v>
      </c>
      <c r="G521" s="31"/>
      <c r="H521" s="31">
        <v>1.35</v>
      </c>
      <c r="I521" s="31">
        <v>1.3</v>
      </c>
      <c r="J521" s="31">
        <v>1.0777000000000001</v>
      </c>
      <c r="K521" s="30">
        <f t="shared" si="97"/>
        <v>66471.901551004965</v>
      </c>
      <c r="L521" s="30">
        <f t="shared" si="95"/>
        <v>1031072.2772589837</v>
      </c>
    </row>
    <row r="522" spans="1:12" ht="30" customHeight="1" x14ac:dyDescent="0.2">
      <c r="A522" s="27" t="s">
        <v>1271</v>
      </c>
      <c r="B522" s="27"/>
      <c r="C522" s="27" t="s">
        <v>1281</v>
      </c>
      <c r="D522" s="31">
        <f>D521+0.316+0.166</f>
        <v>8.485000000000003</v>
      </c>
      <c r="E522" s="30">
        <v>13686</v>
      </c>
      <c r="F522" s="31">
        <v>1.2</v>
      </c>
      <c r="G522" s="31">
        <v>1.22</v>
      </c>
      <c r="H522" s="31">
        <v>1.35</v>
      </c>
      <c r="I522" s="31">
        <v>1.3</v>
      </c>
      <c r="J522" s="31">
        <v>1.0777000000000001</v>
      </c>
      <c r="K522" s="30">
        <f t="shared" si="97"/>
        <v>37895.934060504005</v>
      </c>
      <c r="L522" s="30">
        <f t="shared" si="95"/>
        <v>1068968.2113194878</v>
      </c>
    </row>
    <row r="523" spans="1:12" ht="30" customHeight="1" x14ac:dyDescent="0.2">
      <c r="A523" s="27" t="s">
        <v>1271</v>
      </c>
      <c r="B523" s="27"/>
      <c r="C523" s="27" t="s">
        <v>1282</v>
      </c>
      <c r="D523" s="31">
        <f t="shared" ref="D523:D525" si="101">D522+0.416</f>
        <v>8.9010000000000034</v>
      </c>
      <c r="E523" s="30">
        <v>13686</v>
      </c>
      <c r="F523" s="31">
        <v>1.2</v>
      </c>
      <c r="G523" s="31">
        <v>1.22</v>
      </c>
      <c r="H523" s="31">
        <v>1.35</v>
      </c>
      <c r="I523" s="31">
        <v>1.3</v>
      </c>
      <c r="J523" s="31">
        <v>1.0777000000000001</v>
      </c>
      <c r="K523" s="30">
        <f t="shared" si="97"/>
        <v>37895.934060504005</v>
      </c>
      <c r="L523" s="30">
        <f t="shared" si="95"/>
        <v>1106864.1453799917</v>
      </c>
    </row>
    <row r="524" spans="1:12" ht="30" customHeight="1" x14ac:dyDescent="0.2">
      <c r="A524" s="27" t="s">
        <v>1271</v>
      </c>
      <c r="B524" s="27"/>
      <c r="C524" s="27" t="s">
        <v>1283</v>
      </c>
      <c r="D524" s="31">
        <f t="shared" si="101"/>
        <v>9.3170000000000037</v>
      </c>
      <c r="E524" s="30">
        <v>13686</v>
      </c>
      <c r="F524" s="31">
        <v>1.2</v>
      </c>
      <c r="G524" s="31">
        <v>1.22</v>
      </c>
      <c r="H524" s="31">
        <v>1.35</v>
      </c>
      <c r="I524" s="31">
        <v>1.3</v>
      </c>
      <c r="J524" s="31">
        <v>1.0777000000000001</v>
      </c>
      <c r="K524" s="30">
        <f t="shared" si="97"/>
        <v>37895.934060504005</v>
      </c>
      <c r="L524" s="30">
        <f t="shared" si="95"/>
        <v>1144760.0794404957</v>
      </c>
    </row>
    <row r="525" spans="1:12" ht="30" customHeight="1" x14ac:dyDescent="0.2">
      <c r="A525" s="27" t="s">
        <v>1271</v>
      </c>
      <c r="B525" s="27"/>
      <c r="C525" s="27" t="s">
        <v>1284</v>
      </c>
      <c r="D525" s="31">
        <f t="shared" si="101"/>
        <v>9.7330000000000041</v>
      </c>
      <c r="E525" s="30">
        <v>13686</v>
      </c>
      <c r="F525" s="31">
        <v>1.2</v>
      </c>
      <c r="G525" s="31">
        <v>1.22</v>
      </c>
      <c r="H525" s="31">
        <v>1.35</v>
      </c>
      <c r="I525" s="31">
        <v>1.3</v>
      </c>
      <c r="J525" s="31">
        <v>1.0777000000000001</v>
      </c>
      <c r="K525" s="30">
        <f t="shared" si="97"/>
        <v>37895.934060504005</v>
      </c>
      <c r="L525" s="30">
        <f t="shared" si="95"/>
        <v>1182656.0135009997</v>
      </c>
    </row>
    <row r="526" spans="1:12" ht="30" customHeight="1" x14ac:dyDescent="0.2">
      <c r="A526" s="27" t="s">
        <v>1271</v>
      </c>
      <c r="B526" s="27"/>
      <c r="C526" s="27" t="s">
        <v>1226</v>
      </c>
      <c r="D526" s="31">
        <f>D525+0.316+0.216+0.35</f>
        <v>10.615000000000004</v>
      </c>
      <c r="E526" s="30">
        <v>71544</v>
      </c>
      <c r="F526" s="31"/>
      <c r="G526" s="31">
        <v>1.22</v>
      </c>
      <c r="H526" s="31">
        <v>1.35</v>
      </c>
      <c r="I526" s="31">
        <v>1.3</v>
      </c>
      <c r="J526" s="31"/>
      <c r="K526" s="30">
        <f t="shared" si="97"/>
        <v>153182.8584</v>
      </c>
      <c r="L526" s="30">
        <f t="shared" si="95"/>
        <v>1335838.8719009997</v>
      </c>
    </row>
    <row r="527" spans="1:12" ht="30" customHeight="1" x14ac:dyDescent="0.2">
      <c r="A527" s="27" t="s">
        <v>1271</v>
      </c>
      <c r="B527" s="27"/>
      <c r="C527" s="27" t="s">
        <v>1285</v>
      </c>
      <c r="D527" s="31">
        <f>D526-0.35+0.466</f>
        <v>10.731000000000003</v>
      </c>
      <c r="E527" s="30">
        <f t="shared" ref="E527:E528" si="102">13686*1.15</f>
        <v>15738.9</v>
      </c>
      <c r="F527" s="31"/>
      <c r="G527" s="31"/>
      <c r="H527" s="31">
        <v>1.35</v>
      </c>
      <c r="I527" s="31">
        <v>1.3</v>
      </c>
      <c r="J527" s="31">
        <v>1.0777000000000001</v>
      </c>
      <c r="K527" s="30">
        <f t="shared" si="97"/>
        <v>29767.980990150001</v>
      </c>
      <c r="L527" s="30">
        <f t="shared" si="95"/>
        <v>1365606.8528911497</v>
      </c>
    </row>
    <row r="528" spans="1:12" ht="30" customHeight="1" x14ac:dyDescent="0.2">
      <c r="A528" s="27" t="s">
        <v>1271</v>
      </c>
      <c r="B528" s="27"/>
      <c r="C528" s="27" t="s">
        <v>1286</v>
      </c>
      <c r="D528" s="31">
        <f>D527+0.416</f>
        <v>11.147000000000004</v>
      </c>
      <c r="E528" s="30">
        <f t="shared" si="102"/>
        <v>15738.9</v>
      </c>
      <c r="F528" s="31">
        <v>2.2330000000000001</v>
      </c>
      <c r="G528" s="31"/>
      <c r="H528" s="31">
        <v>1.35</v>
      </c>
      <c r="I528" s="31">
        <v>1.3</v>
      </c>
      <c r="J528" s="31">
        <v>1.0777000000000001</v>
      </c>
      <c r="K528" s="30">
        <f t="shared" si="97"/>
        <v>66471.901551004965</v>
      </c>
      <c r="L528" s="30">
        <f t="shared" si="95"/>
        <v>1432078.7544421547</v>
      </c>
    </row>
    <row r="529" spans="1:12" ht="30" customHeight="1" x14ac:dyDescent="0.2">
      <c r="A529" s="27" t="s">
        <v>1271</v>
      </c>
      <c r="B529" s="27"/>
      <c r="C529" s="27" t="s">
        <v>1287</v>
      </c>
      <c r="D529" s="31">
        <f>D528+0.316+0.166</f>
        <v>11.629000000000005</v>
      </c>
      <c r="E529" s="30">
        <v>13686</v>
      </c>
      <c r="F529" s="31">
        <v>1.2</v>
      </c>
      <c r="G529" s="31">
        <v>1.22</v>
      </c>
      <c r="H529" s="31">
        <v>1.35</v>
      </c>
      <c r="I529" s="31">
        <v>1.3</v>
      </c>
      <c r="J529" s="31">
        <v>1.0777000000000001</v>
      </c>
      <c r="K529" s="30">
        <f t="shared" si="97"/>
        <v>37895.934060504005</v>
      </c>
      <c r="L529" s="30">
        <f t="shared" si="95"/>
        <v>1469974.6885026586</v>
      </c>
    </row>
    <row r="530" spans="1:12" ht="30" customHeight="1" x14ac:dyDescent="0.2">
      <c r="A530" s="27" t="s">
        <v>1271</v>
      </c>
      <c r="B530" s="27"/>
      <c r="C530" s="27" t="s">
        <v>1288</v>
      </c>
      <c r="D530" s="31">
        <f t="shared" ref="D530:D532" si="103">D529+0.416</f>
        <v>12.045000000000005</v>
      </c>
      <c r="E530" s="30">
        <v>13686</v>
      </c>
      <c r="F530" s="31">
        <v>1.2</v>
      </c>
      <c r="G530" s="31">
        <v>1.22</v>
      </c>
      <c r="H530" s="31">
        <v>1.35</v>
      </c>
      <c r="I530" s="31">
        <v>1.3</v>
      </c>
      <c r="J530" s="31">
        <v>1.0777000000000001</v>
      </c>
      <c r="K530" s="30">
        <f t="shared" si="97"/>
        <v>37895.934060504005</v>
      </c>
      <c r="L530" s="30">
        <f t="shared" si="95"/>
        <v>1507870.6225631626</v>
      </c>
    </row>
    <row r="531" spans="1:12" ht="30" customHeight="1" x14ac:dyDescent="0.2">
      <c r="A531" s="27" t="s">
        <v>1271</v>
      </c>
      <c r="B531" s="27"/>
      <c r="C531" s="27" t="s">
        <v>1289</v>
      </c>
      <c r="D531" s="31">
        <f t="shared" si="103"/>
        <v>12.461000000000006</v>
      </c>
      <c r="E531" s="30">
        <v>13686</v>
      </c>
      <c r="F531" s="31">
        <v>1.2</v>
      </c>
      <c r="G531" s="31">
        <v>1.22</v>
      </c>
      <c r="H531" s="31">
        <v>1.35</v>
      </c>
      <c r="I531" s="31">
        <v>1.3</v>
      </c>
      <c r="J531" s="31">
        <v>1.0777000000000001</v>
      </c>
      <c r="K531" s="30">
        <f t="shared" si="97"/>
        <v>37895.934060504005</v>
      </c>
      <c r="L531" s="30">
        <f t="shared" si="95"/>
        <v>1545766.5566236665</v>
      </c>
    </row>
    <row r="532" spans="1:12" ht="30" customHeight="1" x14ac:dyDescent="0.2">
      <c r="A532" s="27" t="s">
        <v>1271</v>
      </c>
      <c r="B532" s="27"/>
      <c r="C532" s="27" t="s">
        <v>1290</v>
      </c>
      <c r="D532" s="31">
        <f t="shared" si="103"/>
        <v>12.877000000000006</v>
      </c>
      <c r="E532" s="30">
        <v>13686</v>
      </c>
      <c r="F532" s="31">
        <v>1.2</v>
      </c>
      <c r="G532" s="31">
        <v>1.22</v>
      </c>
      <c r="H532" s="31">
        <v>1.35</v>
      </c>
      <c r="I532" s="31">
        <v>1.3</v>
      </c>
      <c r="J532" s="31">
        <v>1.0777000000000001</v>
      </c>
      <c r="K532" s="30">
        <f t="shared" si="97"/>
        <v>37895.934060504005</v>
      </c>
      <c r="L532" s="30">
        <f t="shared" si="95"/>
        <v>1583662.4906841705</v>
      </c>
    </row>
    <row r="533" spans="1:12" ht="30" customHeight="1" x14ac:dyDescent="0.2">
      <c r="A533" s="27" t="s">
        <v>1271</v>
      </c>
      <c r="B533" s="27"/>
      <c r="C533" s="27" t="s">
        <v>1291</v>
      </c>
      <c r="D533" s="31">
        <f>D532+1.183+0.316+0.216</f>
        <v>14.592000000000006</v>
      </c>
      <c r="E533" s="30">
        <v>71544</v>
      </c>
      <c r="F533" s="31"/>
      <c r="G533" s="31">
        <v>1.22</v>
      </c>
      <c r="H533" s="31">
        <v>1.35</v>
      </c>
      <c r="I533" s="31">
        <v>1.3</v>
      </c>
      <c r="J533" s="31"/>
      <c r="K533" s="30">
        <f t="shared" si="97"/>
        <v>153182.8584</v>
      </c>
      <c r="L533" s="30">
        <f t="shared" si="95"/>
        <v>1736845.3490841705</v>
      </c>
    </row>
    <row r="534" spans="1:12" ht="30" customHeight="1" x14ac:dyDescent="0.2">
      <c r="A534" s="27" t="s">
        <v>1271</v>
      </c>
      <c r="B534" s="27"/>
      <c r="C534" s="27" t="s">
        <v>1292</v>
      </c>
      <c r="D534" s="31">
        <f>D533-0.35+0.466</f>
        <v>14.708000000000006</v>
      </c>
      <c r="E534" s="30">
        <f t="shared" ref="E534:E535" si="104">13686*1.15</f>
        <v>15738.9</v>
      </c>
      <c r="F534" s="31"/>
      <c r="G534" s="31"/>
      <c r="H534" s="31">
        <v>1.35</v>
      </c>
      <c r="I534" s="31">
        <v>1.3</v>
      </c>
      <c r="J534" s="31">
        <v>1.0777000000000001</v>
      </c>
      <c r="K534" s="30">
        <f t="shared" si="97"/>
        <v>29767.980990150001</v>
      </c>
      <c r="L534" s="30">
        <f t="shared" si="95"/>
        <v>1766613.3300743205</v>
      </c>
    </row>
    <row r="535" spans="1:12" ht="30" customHeight="1" x14ac:dyDescent="0.2">
      <c r="A535" s="27" t="s">
        <v>1271</v>
      </c>
      <c r="B535" s="27"/>
      <c r="C535" s="27" t="s">
        <v>1293</v>
      </c>
      <c r="D535" s="31">
        <f>D534+0.416</f>
        <v>15.124000000000006</v>
      </c>
      <c r="E535" s="30">
        <f t="shared" si="104"/>
        <v>15738.9</v>
      </c>
      <c r="F535" s="31">
        <v>2.2330000000000001</v>
      </c>
      <c r="G535" s="31"/>
      <c r="H535" s="31">
        <v>1.35</v>
      </c>
      <c r="I535" s="31">
        <v>1.3</v>
      </c>
      <c r="J535" s="31">
        <v>1.0777000000000001</v>
      </c>
      <c r="K535" s="30">
        <f t="shared" si="97"/>
        <v>66471.901551004965</v>
      </c>
      <c r="L535" s="30">
        <f t="shared" si="95"/>
        <v>1833085.2316253255</v>
      </c>
    </row>
    <row r="536" spans="1:12" ht="30" customHeight="1" x14ac:dyDescent="0.2">
      <c r="A536" s="27" t="s">
        <v>1271</v>
      </c>
      <c r="B536" s="27"/>
      <c r="C536" s="27" t="s">
        <v>1294</v>
      </c>
      <c r="D536" s="31">
        <f>D535+0.316+0.166</f>
        <v>15.606000000000007</v>
      </c>
      <c r="E536" s="30">
        <v>13686</v>
      </c>
      <c r="F536" s="31">
        <v>1.2</v>
      </c>
      <c r="G536" s="31">
        <v>1.22</v>
      </c>
      <c r="H536" s="31">
        <v>1.35</v>
      </c>
      <c r="I536" s="31">
        <v>1.3</v>
      </c>
      <c r="J536" s="31">
        <v>1.0777000000000001</v>
      </c>
      <c r="K536" s="30">
        <f t="shared" si="97"/>
        <v>37895.934060504005</v>
      </c>
      <c r="L536" s="30">
        <f t="shared" si="95"/>
        <v>1870981.1656858295</v>
      </c>
    </row>
    <row r="537" spans="1:12" ht="30" customHeight="1" x14ac:dyDescent="0.2">
      <c r="A537" s="27" t="s">
        <v>1271</v>
      </c>
      <c r="B537" s="27"/>
      <c r="C537" s="27" t="s">
        <v>1295</v>
      </c>
      <c r="D537" s="31">
        <f t="shared" ref="D537:D539" si="105">D536+0.416</f>
        <v>16.022000000000006</v>
      </c>
      <c r="E537" s="30">
        <v>13686</v>
      </c>
      <c r="F537" s="31">
        <v>1.2</v>
      </c>
      <c r="G537" s="31">
        <v>1.22</v>
      </c>
      <c r="H537" s="31">
        <v>1.35</v>
      </c>
      <c r="I537" s="31">
        <v>1.3</v>
      </c>
      <c r="J537" s="31">
        <v>1.0777000000000001</v>
      </c>
      <c r="K537" s="30">
        <f t="shared" si="97"/>
        <v>37895.934060504005</v>
      </c>
      <c r="L537" s="30">
        <f t="shared" si="95"/>
        <v>1908877.0997463334</v>
      </c>
    </row>
    <row r="538" spans="1:12" ht="30" customHeight="1" x14ac:dyDescent="0.2">
      <c r="A538" s="27" t="s">
        <v>1271</v>
      </c>
      <c r="B538" s="27"/>
      <c r="C538" s="27" t="s">
        <v>1296</v>
      </c>
      <c r="D538" s="31">
        <f t="shared" si="105"/>
        <v>16.438000000000006</v>
      </c>
      <c r="E538" s="30">
        <v>13686</v>
      </c>
      <c r="F538" s="31">
        <v>1.2</v>
      </c>
      <c r="G538" s="31">
        <v>1.22</v>
      </c>
      <c r="H538" s="31">
        <v>1.35</v>
      </c>
      <c r="I538" s="31">
        <v>1.3</v>
      </c>
      <c r="J538" s="31">
        <v>1.0777000000000001</v>
      </c>
      <c r="K538" s="30">
        <f t="shared" si="97"/>
        <v>37895.934060504005</v>
      </c>
      <c r="L538" s="30">
        <f t="shared" si="95"/>
        <v>1946773.0338068374</v>
      </c>
    </row>
    <row r="539" spans="1:12" ht="30" customHeight="1" x14ac:dyDescent="0.2">
      <c r="A539" s="27" t="s">
        <v>1271</v>
      </c>
      <c r="B539" s="27"/>
      <c r="C539" s="27" t="s">
        <v>1297</v>
      </c>
      <c r="D539" s="31">
        <f t="shared" si="105"/>
        <v>16.854000000000006</v>
      </c>
      <c r="E539" s="30">
        <v>13686</v>
      </c>
      <c r="F539" s="31">
        <v>1.2</v>
      </c>
      <c r="G539" s="31">
        <v>1.22</v>
      </c>
      <c r="H539" s="31">
        <v>1.35</v>
      </c>
      <c r="I539" s="31">
        <v>1.3</v>
      </c>
      <c r="J539" s="31">
        <v>1.0777000000000001</v>
      </c>
      <c r="K539" s="30">
        <f t="shared" si="97"/>
        <v>37895.934060504005</v>
      </c>
      <c r="L539" s="30">
        <f t="shared" si="95"/>
        <v>1984668.9678673414</v>
      </c>
    </row>
    <row r="540" spans="1:12" ht="30" customHeight="1" x14ac:dyDescent="0.2">
      <c r="A540" s="27" t="s">
        <v>1271</v>
      </c>
      <c r="B540" s="27"/>
      <c r="C540" s="27" t="s">
        <v>1228</v>
      </c>
      <c r="D540" s="31">
        <f>D539+0.316+0.216+0.35</f>
        <v>17.736000000000008</v>
      </c>
      <c r="E540" s="30">
        <v>71544</v>
      </c>
      <c r="F540" s="31"/>
      <c r="G540" s="31">
        <v>1.22</v>
      </c>
      <c r="H540" s="31">
        <v>1.35</v>
      </c>
      <c r="I540" s="31">
        <v>1.3</v>
      </c>
      <c r="J540" s="31"/>
      <c r="K540" s="30">
        <f t="shared" si="97"/>
        <v>153182.8584</v>
      </c>
      <c r="L540" s="30">
        <f t="shared" si="95"/>
        <v>2137851.8262673412</v>
      </c>
    </row>
    <row r="541" spans="1:12" ht="30" customHeight="1" x14ac:dyDescent="0.2">
      <c r="A541" s="27" t="s">
        <v>1271</v>
      </c>
      <c r="B541" s="27"/>
      <c r="C541" s="27" t="s">
        <v>1298</v>
      </c>
      <c r="D541" s="31">
        <f>D540-0.35+0.466</f>
        <v>17.852000000000007</v>
      </c>
      <c r="E541" s="30">
        <f t="shared" ref="E541:E542" si="106">13686*1.15</f>
        <v>15738.9</v>
      </c>
      <c r="F541" s="31"/>
      <c r="G541" s="31"/>
      <c r="H541" s="31">
        <v>1.35</v>
      </c>
      <c r="I541" s="31">
        <v>1.3</v>
      </c>
      <c r="J541" s="31">
        <v>1.0777000000000001</v>
      </c>
      <c r="K541" s="30">
        <f t="shared" si="97"/>
        <v>29767.980990150001</v>
      </c>
      <c r="L541" s="30">
        <f t="shared" si="95"/>
        <v>2167619.8072574912</v>
      </c>
    </row>
    <row r="542" spans="1:12" ht="30" customHeight="1" x14ac:dyDescent="0.2">
      <c r="A542" s="27" t="s">
        <v>1271</v>
      </c>
      <c r="B542" s="27"/>
      <c r="C542" s="27" t="s">
        <v>1299</v>
      </c>
      <c r="D542" s="31">
        <f>D541+0.416</f>
        <v>18.268000000000008</v>
      </c>
      <c r="E542" s="30">
        <f t="shared" si="106"/>
        <v>15738.9</v>
      </c>
      <c r="F542" s="31">
        <v>2.2330000000000001</v>
      </c>
      <c r="G542" s="31"/>
      <c r="H542" s="31">
        <v>1.35</v>
      </c>
      <c r="I542" s="31">
        <v>1.3</v>
      </c>
      <c r="J542" s="31">
        <v>1.0777000000000001</v>
      </c>
      <c r="K542" s="30">
        <f t="shared" si="97"/>
        <v>66471.901551004965</v>
      </c>
      <c r="L542" s="30">
        <f t="shared" si="95"/>
        <v>2234091.7088084961</v>
      </c>
    </row>
    <row r="543" spans="1:12" ht="30" customHeight="1" x14ac:dyDescent="0.2">
      <c r="A543" s="27" t="s">
        <v>1271</v>
      </c>
      <c r="B543" s="27"/>
      <c r="C543" s="27" t="s">
        <v>1300</v>
      </c>
      <c r="D543" s="31">
        <f>D542+0.316+0.166</f>
        <v>18.750000000000007</v>
      </c>
      <c r="E543" s="30">
        <v>13686</v>
      </c>
      <c r="F543" s="31">
        <v>1.2</v>
      </c>
      <c r="G543" s="31">
        <v>1.22</v>
      </c>
      <c r="H543" s="31">
        <v>1.35</v>
      </c>
      <c r="I543" s="31">
        <v>1.3</v>
      </c>
      <c r="J543" s="31">
        <v>1.0777000000000001</v>
      </c>
      <c r="K543" s="30">
        <f t="shared" si="97"/>
        <v>37895.934060504005</v>
      </c>
      <c r="L543" s="30">
        <f t="shared" si="95"/>
        <v>2271987.6428690003</v>
      </c>
    </row>
    <row r="544" spans="1:12" ht="30" customHeight="1" x14ac:dyDescent="0.2">
      <c r="A544" s="27" t="s">
        <v>1271</v>
      </c>
      <c r="B544" s="27"/>
      <c r="C544" s="27" t="s">
        <v>1301</v>
      </c>
      <c r="D544" s="31">
        <f t="shared" ref="D544:D546" si="107">D543+0.416</f>
        <v>19.166000000000007</v>
      </c>
      <c r="E544" s="30">
        <v>13686</v>
      </c>
      <c r="F544" s="31">
        <v>1.2</v>
      </c>
      <c r="G544" s="31">
        <v>1.22</v>
      </c>
      <c r="H544" s="31">
        <v>1.35</v>
      </c>
      <c r="I544" s="31">
        <v>1.3</v>
      </c>
      <c r="J544" s="31">
        <v>1.0777000000000001</v>
      </c>
      <c r="K544" s="30">
        <f t="shared" si="97"/>
        <v>37895.934060504005</v>
      </c>
      <c r="L544" s="30">
        <f t="shared" si="95"/>
        <v>2309883.5769295045</v>
      </c>
    </row>
    <row r="545" spans="1:12" ht="30" customHeight="1" x14ac:dyDescent="0.2">
      <c r="A545" s="27" t="s">
        <v>1271</v>
      </c>
      <c r="B545" s="27"/>
      <c r="C545" s="27" t="s">
        <v>1302</v>
      </c>
      <c r="D545" s="31">
        <f t="shared" si="107"/>
        <v>19.582000000000008</v>
      </c>
      <c r="E545" s="30">
        <v>13686</v>
      </c>
      <c r="F545" s="31">
        <v>1.2</v>
      </c>
      <c r="G545" s="31">
        <v>1.22</v>
      </c>
      <c r="H545" s="31">
        <v>1.35</v>
      </c>
      <c r="I545" s="31">
        <v>1.3</v>
      </c>
      <c r="J545" s="31">
        <v>1.0777000000000001</v>
      </c>
      <c r="K545" s="30">
        <f t="shared" si="97"/>
        <v>37895.934060504005</v>
      </c>
      <c r="L545" s="30">
        <f t="shared" si="95"/>
        <v>2347779.5109900087</v>
      </c>
    </row>
    <row r="546" spans="1:12" ht="30" customHeight="1" x14ac:dyDescent="0.2">
      <c r="A546" s="27" t="s">
        <v>1271</v>
      </c>
      <c r="B546" s="27"/>
      <c r="C546" s="27" t="s">
        <v>1303</v>
      </c>
      <c r="D546" s="31">
        <f t="shared" si="107"/>
        <v>19.998000000000008</v>
      </c>
      <c r="E546" s="30">
        <v>13686</v>
      </c>
      <c r="F546" s="31">
        <v>1.2</v>
      </c>
      <c r="G546" s="31">
        <v>1.22</v>
      </c>
      <c r="H546" s="31">
        <v>1.35</v>
      </c>
      <c r="I546" s="31">
        <v>1.3</v>
      </c>
      <c r="J546" s="31">
        <v>1.0777000000000001</v>
      </c>
      <c r="K546" s="30">
        <f t="shared" si="97"/>
        <v>37895.934060504005</v>
      </c>
      <c r="L546" s="30">
        <f t="shared" si="95"/>
        <v>2385675.4450505129</v>
      </c>
    </row>
    <row r="547" spans="1:12" ht="30" customHeight="1" x14ac:dyDescent="0.2">
      <c r="A547" s="27" t="s">
        <v>1271</v>
      </c>
      <c r="B547" s="27"/>
      <c r="C547" s="27" t="s">
        <v>1304</v>
      </c>
      <c r="D547" s="31">
        <f>D546+1.183+0.316+0.216</f>
        <v>21.713000000000008</v>
      </c>
      <c r="E547" s="30">
        <v>71544</v>
      </c>
      <c r="F547" s="31"/>
      <c r="G547" s="31">
        <v>1.22</v>
      </c>
      <c r="H547" s="31">
        <v>1.35</v>
      </c>
      <c r="I547" s="31">
        <v>1.3</v>
      </c>
      <c r="J547" s="31"/>
      <c r="K547" s="30">
        <f t="shared" si="97"/>
        <v>153182.8584</v>
      </c>
      <c r="L547" s="30">
        <f t="shared" si="95"/>
        <v>2538858.3034505127</v>
      </c>
    </row>
    <row r="548" spans="1:12" ht="30" customHeight="1" x14ac:dyDescent="0.2">
      <c r="A548" s="27" t="s">
        <v>1271</v>
      </c>
      <c r="B548" s="27"/>
      <c r="C548" s="27" t="s">
        <v>1305</v>
      </c>
      <c r="D548" s="31">
        <f>D547-0.35+0.466</f>
        <v>21.829000000000008</v>
      </c>
      <c r="E548" s="30">
        <f t="shared" ref="E548:E549" si="108">13686*1.15</f>
        <v>15738.9</v>
      </c>
      <c r="F548" s="31"/>
      <c r="G548" s="31"/>
      <c r="H548" s="31">
        <v>1.35</v>
      </c>
      <c r="I548" s="31">
        <v>1.3</v>
      </c>
      <c r="J548" s="31">
        <v>1.0777000000000001</v>
      </c>
      <c r="K548" s="30">
        <f t="shared" si="97"/>
        <v>29767.980990150001</v>
      </c>
      <c r="L548" s="30">
        <f t="shared" si="95"/>
        <v>2568626.2844406627</v>
      </c>
    </row>
    <row r="549" spans="1:12" ht="30" customHeight="1" x14ac:dyDescent="0.2">
      <c r="A549" s="27" t="s">
        <v>1271</v>
      </c>
      <c r="B549" s="27"/>
      <c r="C549" s="27" t="s">
        <v>1306</v>
      </c>
      <c r="D549" s="31">
        <f>D548+0.416</f>
        <v>22.245000000000008</v>
      </c>
      <c r="E549" s="30">
        <f t="shared" si="108"/>
        <v>15738.9</v>
      </c>
      <c r="F549" s="31">
        <v>2.2330000000000001</v>
      </c>
      <c r="G549" s="31"/>
      <c r="H549" s="31">
        <v>1.35</v>
      </c>
      <c r="I549" s="31">
        <v>1.3</v>
      </c>
      <c r="J549" s="31">
        <v>1.0777000000000001</v>
      </c>
      <c r="K549" s="30">
        <f t="shared" si="97"/>
        <v>66471.901551004965</v>
      </c>
      <c r="L549" s="30">
        <f t="shared" si="95"/>
        <v>2635098.1859916677</v>
      </c>
    </row>
    <row r="550" spans="1:12" ht="30" customHeight="1" x14ac:dyDescent="0.2">
      <c r="A550" s="27" t="s">
        <v>1271</v>
      </c>
      <c r="B550" s="27"/>
      <c r="C550" s="27" t="s">
        <v>1307</v>
      </c>
      <c r="D550" s="31">
        <f>D549+0.316+0.166</f>
        <v>22.727000000000007</v>
      </c>
      <c r="E550" s="30">
        <v>13686</v>
      </c>
      <c r="F550" s="31">
        <v>1.2</v>
      </c>
      <c r="G550" s="31">
        <v>1.22</v>
      </c>
      <c r="H550" s="31">
        <v>1.35</v>
      </c>
      <c r="I550" s="31">
        <v>1.3</v>
      </c>
      <c r="J550" s="31">
        <v>1.0777000000000001</v>
      </c>
      <c r="K550" s="30">
        <f t="shared" si="97"/>
        <v>37895.934060504005</v>
      </c>
      <c r="L550" s="30">
        <f t="shared" si="95"/>
        <v>2672994.1200521719</v>
      </c>
    </row>
    <row r="551" spans="1:12" ht="30" customHeight="1" x14ac:dyDescent="0.2">
      <c r="A551" s="27" t="s">
        <v>1271</v>
      </c>
      <c r="B551" s="27"/>
      <c r="C551" s="27" t="s">
        <v>1308</v>
      </c>
      <c r="D551" s="31">
        <f t="shared" ref="D551:D553" si="109">D550+0.416</f>
        <v>23.143000000000008</v>
      </c>
      <c r="E551" s="30">
        <v>13686</v>
      </c>
      <c r="F551" s="31">
        <v>1.2</v>
      </c>
      <c r="G551" s="31">
        <v>1.22</v>
      </c>
      <c r="H551" s="31">
        <v>1.35</v>
      </c>
      <c r="I551" s="31">
        <v>1.3</v>
      </c>
      <c r="J551" s="31">
        <v>1.0777000000000001</v>
      </c>
      <c r="K551" s="30">
        <f t="shared" si="97"/>
        <v>37895.934060504005</v>
      </c>
      <c r="L551" s="30">
        <f t="shared" si="95"/>
        <v>2710890.0541126761</v>
      </c>
    </row>
    <row r="552" spans="1:12" ht="30" customHeight="1" x14ac:dyDescent="0.2">
      <c r="A552" s="27" t="s">
        <v>1271</v>
      </c>
      <c r="B552" s="27"/>
      <c r="C552" s="27" t="s">
        <v>1309</v>
      </c>
      <c r="D552" s="31">
        <f t="shared" si="109"/>
        <v>23.559000000000008</v>
      </c>
      <c r="E552" s="30">
        <v>13686</v>
      </c>
      <c r="F552" s="31">
        <v>1.2</v>
      </c>
      <c r="G552" s="31">
        <v>1.22</v>
      </c>
      <c r="H552" s="31">
        <v>1.35</v>
      </c>
      <c r="I552" s="31">
        <v>1.3</v>
      </c>
      <c r="J552" s="31">
        <v>1.0777000000000001</v>
      </c>
      <c r="K552" s="30">
        <f t="shared" si="97"/>
        <v>37895.934060504005</v>
      </c>
      <c r="L552" s="30">
        <f t="shared" si="95"/>
        <v>2748785.9881731803</v>
      </c>
    </row>
    <row r="553" spans="1:12" ht="30" customHeight="1" x14ac:dyDescent="0.2">
      <c r="A553" s="27" t="s">
        <v>1271</v>
      </c>
      <c r="B553" s="27"/>
      <c r="C553" s="27" t="s">
        <v>1310</v>
      </c>
      <c r="D553" s="31">
        <f t="shared" si="109"/>
        <v>23.975000000000009</v>
      </c>
      <c r="E553" s="30">
        <v>13686</v>
      </c>
      <c r="F553" s="31">
        <v>1.2</v>
      </c>
      <c r="G553" s="31">
        <v>1.22</v>
      </c>
      <c r="H553" s="31">
        <v>1.35</v>
      </c>
      <c r="I553" s="31">
        <v>1.3</v>
      </c>
      <c r="J553" s="31">
        <v>1.0777000000000001</v>
      </c>
      <c r="K553" s="30">
        <f t="shared" si="97"/>
        <v>37895.934060504005</v>
      </c>
      <c r="L553" s="30">
        <f t="shared" si="95"/>
        <v>2786681.9222336845</v>
      </c>
    </row>
    <row r="554" spans="1:12" ht="30" customHeight="1" x14ac:dyDescent="0.2">
      <c r="A554" s="27" t="s">
        <v>1271</v>
      </c>
      <c r="B554" s="27"/>
      <c r="C554" s="27" t="s">
        <v>1230</v>
      </c>
      <c r="D554" s="31">
        <f>D553+0.316+0.216+0.35</f>
        <v>24.85700000000001</v>
      </c>
      <c r="E554" s="30">
        <v>71544</v>
      </c>
      <c r="F554" s="31"/>
      <c r="G554" s="31">
        <v>1.22</v>
      </c>
      <c r="H554" s="31">
        <v>1.35</v>
      </c>
      <c r="I554" s="31">
        <v>1.3</v>
      </c>
      <c r="J554" s="31"/>
      <c r="K554" s="30">
        <f t="shared" si="97"/>
        <v>153182.8584</v>
      </c>
      <c r="L554" s="30">
        <f t="shared" si="95"/>
        <v>2939864.7806336842</v>
      </c>
    </row>
    <row r="555" spans="1:12" ht="30" customHeight="1" x14ac:dyDescent="0.2">
      <c r="A555" s="27" t="s">
        <v>1271</v>
      </c>
      <c r="B555" s="27"/>
      <c r="C555" s="27" t="s">
        <v>1311</v>
      </c>
      <c r="D555" s="31">
        <f>D554-0.35+0.466</f>
        <v>24.97300000000001</v>
      </c>
      <c r="E555" s="30">
        <f t="shared" ref="E555:E556" si="110">13686*1.15</f>
        <v>15738.9</v>
      </c>
      <c r="F555" s="31"/>
      <c r="G555" s="31"/>
      <c r="H555" s="31">
        <v>1.35</v>
      </c>
      <c r="I555" s="31">
        <v>1.3</v>
      </c>
      <c r="J555" s="31">
        <v>1.0777000000000001</v>
      </c>
      <c r="K555" s="30">
        <f t="shared" si="97"/>
        <v>29767.980990150001</v>
      </c>
      <c r="L555" s="30">
        <f t="shared" si="95"/>
        <v>2969632.7616238343</v>
      </c>
    </row>
    <row r="556" spans="1:12" ht="30" customHeight="1" x14ac:dyDescent="0.2">
      <c r="A556" s="27" t="s">
        <v>1271</v>
      </c>
      <c r="B556" s="27"/>
      <c r="C556" s="27" t="s">
        <v>1312</v>
      </c>
      <c r="D556" s="31">
        <f>D555+0.416</f>
        <v>25.38900000000001</v>
      </c>
      <c r="E556" s="30">
        <f t="shared" si="110"/>
        <v>15738.9</v>
      </c>
      <c r="F556" s="31">
        <v>2.2330000000000001</v>
      </c>
      <c r="G556" s="31"/>
      <c r="H556" s="31">
        <v>1.35</v>
      </c>
      <c r="I556" s="31">
        <v>1.3</v>
      </c>
      <c r="J556" s="31">
        <v>1.0777000000000001</v>
      </c>
      <c r="K556" s="30">
        <f t="shared" si="97"/>
        <v>66471.901551004965</v>
      </c>
      <c r="L556" s="30">
        <f t="shared" si="95"/>
        <v>3036104.6631748392</v>
      </c>
    </row>
    <row r="557" spans="1:12" ht="30" customHeight="1" x14ac:dyDescent="0.2">
      <c r="A557" s="27" t="s">
        <v>1271</v>
      </c>
      <c r="B557" s="27"/>
      <c r="C557" s="27" t="s">
        <v>1313</v>
      </c>
      <c r="D557" s="31">
        <f>D556+0.316+0.166</f>
        <v>25.871000000000009</v>
      </c>
      <c r="E557" s="30">
        <v>13686</v>
      </c>
      <c r="F557" s="31">
        <v>1.2</v>
      </c>
      <c r="G557" s="31">
        <v>1.22</v>
      </c>
      <c r="H557" s="31">
        <v>1.35</v>
      </c>
      <c r="I557" s="31">
        <v>1.3</v>
      </c>
      <c r="J557" s="31">
        <v>1.0777000000000001</v>
      </c>
      <c r="K557" s="30">
        <f t="shared" si="97"/>
        <v>37895.934060504005</v>
      </c>
      <c r="L557" s="30">
        <f t="shared" si="95"/>
        <v>3074000.5972353434</v>
      </c>
    </row>
    <row r="558" spans="1:12" ht="30" customHeight="1" x14ac:dyDescent="0.2">
      <c r="A558" s="27" t="s">
        <v>1271</v>
      </c>
      <c r="B558" s="27"/>
      <c r="C558" s="27" t="s">
        <v>1314</v>
      </c>
      <c r="D558" s="31">
        <f t="shared" ref="D558:D560" si="111">D557+0.416</f>
        <v>26.28700000000001</v>
      </c>
      <c r="E558" s="30">
        <v>13686</v>
      </c>
      <c r="F558" s="31">
        <v>1.2</v>
      </c>
      <c r="G558" s="31">
        <v>1.22</v>
      </c>
      <c r="H558" s="31">
        <v>1.35</v>
      </c>
      <c r="I558" s="31">
        <v>1.3</v>
      </c>
      <c r="J558" s="31">
        <v>1.0777000000000001</v>
      </c>
      <c r="K558" s="30">
        <f t="shared" si="97"/>
        <v>37895.934060504005</v>
      </c>
      <c r="L558" s="30">
        <f t="shared" si="95"/>
        <v>3111896.5312958476</v>
      </c>
    </row>
    <row r="559" spans="1:12" ht="30" customHeight="1" x14ac:dyDescent="0.2">
      <c r="A559" s="27" t="s">
        <v>1271</v>
      </c>
      <c r="B559" s="27"/>
      <c r="C559" s="27" t="s">
        <v>1315</v>
      </c>
      <c r="D559" s="31">
        <f t="shared" si="111"/>
        <v>26.70300000000001</v>
      </c>
      <c r="E559" s="30">
        <v>13686</v>
      </c>
      <c r="F559" s="31">
        <v>1.2</v>
      </c>
      <c r="G559" s="31">
        <v>1.22</v>
      </c>
      <c r="H559" s="31">
        <v>1.35</v>
      </c>
      <c r="I559" s="31">
        <v>1.3</v>
      </c>
      <c r="J559" s="31">
        <v>1.0777000000000001</v>
      </c>
      <c r="K559" s="30">
        <f t="shared" si="97"/>
        <v>37895.934060504005</v>
      </c>
      <c r="L559" s="30">
        <f t="shared" si="95"/>
        <v>3149792.4653563518</v>
      </c>
    </row>
    <row r="560" spans="1:12" ht="30" customHeight="1" x14ac:dyDescent="0.2">
      <c r="A560" s="27" t="s">
        <v>1271</v>
      </c>
      <c r="B560" s="27"/>
      <c r="C560" s="27" t="s">
        <v>1316</v>
      </c>
      <c r="D560" s="31">
        <f t="shared" si="111"/>
        <v>27.11900000000001</v>
      </c>
      <c r="E560" s="30">
        <v>13686</v>
      </c>
      <c r="F560" s="31">
        <v>1.2</v>
      </c>
      <c r="G560" s="31">
        <v>1.22</v>
      </c>
      <c r="H560" s="31">
        <v>1.35</v>
      </c>
      <c r="I560" s="31">
        <v>1.3</v>
      </c>
      <c r="J560" s="31">
        <v>1.0777000000000001</v>
      </c>
      <c r="K560" s="30">
        <f t="shared" si="97"/>
        <v>37895.934060504005</v>
      </c>
      <c r="L560" s="30">
        <f t="shared" si="95"/>
        <v>3187688.399416856</v>
      </c>
    </row>
    <row r="561" spans="1:12" ht="30" customHeight="1" x14ac:dyDescent="0.2">
      <c r="A561" s="27" t="s">
        <v>1271</v>
      </c>
      <c r="B561" s="27"/>
      <c r="C561" s="27" t="s">
        <v>1317</v>
      </c>
      <c r="D561" s="31">
        <f>D560+1.183+0.316+0.216</f>
        <v>28.83400000000001</v>
      </c>
      <c r="E561" s="30">
        <v>71544</v>
      </c>
      <c r="F561" s="31"/>
      <c r="G561" s="31">
        <v>1.22</v>
      </c>
      <c r="H561" s="31">
        <v>1.35</v>
      </c>
      <c r="I561" s="31">
        <v>1.3</v>
      </c>
      <c r="J561" s="31"/>
      <c r="K561" s="30">
        <f t="shared" si="97"/>
        <v>153182.8584</v>
      </c>
      <c r="L561" s="30">
        <f t="shared" si="95"/>
        <v>3340871.2578168558</v>
      </c>
    </row>
    <row r="562" spans="1:12" ht="30" customHeight="1" x14ac:dyDescent="0.2">
      <c r="A562" s="27" t="s">
        <v>1271</v>
      </c>
      <c r="B562" s="27"/>
      <c r="C562" s="27" t="s">
        <v>1318</v>
      </c>
      <c r="D562" s="31">
        <f>D561-0.35+0.466</f>
        <v>28.95000000000001</v>
      </c>
      <c r="E562" s="30">
        <f t="shared" ref="E562:E563" si="112">13686*1.15</f>
        <v>15738.9</v>
      </c>
      <c r="F562" s="31"/>
      <c r="G562" s="31"/>
      <c r="H562" s="31">
        <v>1.35</v>
      </c>
      <c r="I562" s="31">
        <v>1.3</v>
      </c>
      <c r="J562" s="31">
        <v>1.0777000000000001</v>
      </c>
      <c r="K562" s="30">
        <f t="shared" si="97"/>
        <v>29767.980990150001</v>
      </c>
      <c r="L562" s="30">
        <f t="shared" si="95"/>
        <v>3370639.2388070058</v>
      </c>
    </row>
    <row r="563" spans="1:12" ht="30" customHeight="1" x14ac:dyDescent="0.2">
      <c r="A563" s="27" t="s">
        <v>1271</v>
      </c>
      <c r="B563" s="27"/>
      <c r="C563" s="27" t="s">
        <v>1319</v>
      </c>
      <c r="D563" s="31">
        <f>D562+0.416</f>
        <v>29.36600000000001</v>
      </c>
      <c r="E563" s="30">
        <f t="shared" si="112"/>
        <v>15738.9</v>
      </c>
      <c r="F563" s="31">
        <v>2.2330000000000001</v>
      </c>
      <c r="G563" s="31"/>
      <c r="H563" s="31">
        <v>1.35</v>
      </c>
      <c r="I563" s="31">
        <v>1.3</v>
      </c>
      <c r="J563" s="31">
        <v>1.0777000000000001</v>
      </c>
      <c r="K563" s="30">
        <f t="shared" si="97"/>
        <v>66471.901551004965</v>
      </c>
      <c r="L563" s="30">
        <f t="shared" si="95"/>
        <v>3437111.1403580108</v>
      </c>
    </row>
    <row r="564" spans="1:12" ht="30" customHeight="1" x14ac:dyDescent="0.2">
      <c r="A564" s="27" t="s">
        <v>1271</v>
      </c>
      <c r="B564" s="27"/>
      <c r="C564" s="27" t="s">
        <v>1320</v>
      </c>
      <c r="D564" s="31">
        <f>D563+0.316+0.166</f>
        <v>29.84800000000001</v>
      </c>
      <c r="E564" s="30">
        <v>13686</v>
      </c>
      <c r="F564" s="31">
        <v>1.2</v>
      </c>
      <c r="G564" s="31">
        <v>1.22</v>
      </c>
      <c r="H564" s="31">
        <v>1.35</v>
      </c>
      <c r="I564" s="31">
        <v>1.3</v>
      </c>
      <c r="J564" s="31">
        <v>1.0777000000000001</v>
      </c>
      <c r="K564" s="30">
        <f t="shared" si="97"/>
        <v>37895.934060504005</v>
      </c>
      <c r="L564" s="30">
        <f t="shared" si="95"/>
        <v>3475007.074418515</v>
      </c>
    </row>
    <row r="565" spans="1:12" ht="30" customHeight="1" x14ac:dyDescent="0.2">
      <c r="A565" s="27" t="s">
        <v>1271</v>
      </c>
      <c r="B565" s="27"/>
      <c r="C565" s="27" t="s">
        <v>1321</v>
      </c>
      <c r="D565" s="31">
        <f t="shared" ref="D565:D567" si="113">D564+0.416</f>
        <v>30.26400000000001</v>
      </c>
      <c r="E565" s="30">
        <v>13686</v>
      </c>
      <c r="F565" s="31">
        <v>1.2</v>
      </c>
      <c r="G565" s="31">
        <v>1.22</v>
      </c>
      <c r="H565" s="31">
        <v>1.35</v>
      </c>
      <c r="I565" s="31">
        <v>1.3</v>
      </c>
      <c r="J565" s="31">
        <v>1.0777000000000001</v>
      </c>
      <c r="K565" s="30">
        <f t="shared" si="97"/>
        <v>37895.934060504005</v>
      </c>
      <c r="L565" s="30">
        <f t="shared" si="95"/>
        <v>3512903.0084790192</v>
      </c>
    </row>
    <row r="566" spans="1:12" ht="30" customHeight="1" x14ac:dyDescent="0.2">
      <c r="A566" s="27" t="s">
        <v>1271</v>
      </c>
      <c r="B566" s="27"/>
      <c r="C566" s="27" t="s">
        <v>1322</v>
      </c>
      <c r="D566" s="31">
        <f t="shared" si="113"/>
        <v>30.68000000000001</v>
      </c>
      <c r="E566" s="30">
        <v>13686</v>
      </c>
      <c r="F566" s="31">
        <v>1.2</v>
      </c>
      <c r="G566" s="31">
        <v>1.22</v>
      </c>
      <c r="H566" s="31">
        <v>1.35</v>
      </c>
      <c r="I566" s="31">
        <v>1.3</v>
      </c>
      <c r="J566" s="31">
        <v>1.0777000000000001</v>
      </c>
      <c r="K566" s="30">
        <f t="shared" si="97"/>
        <v>37895.934060504005</v>
      </c>
      <c r="L566" s="30">
        <f t="shared" si="95"/>
        <v>3550798.9425395234</v>
      </c>
    </row>
    <row r="567" spans="1:12" ht="30" customHeight="1" x14ac:dyDescent="0.2">
      <c r="A567" s="27" t="s">
        <v>1271</v>
      </c>
      <c r="B567" s="27"/>
      <c r="C567" s="27" t="s">
        <v>1323</v>
      </c>
      <c r="D567" s="31">
        <f t="shared" si="113"/>
        <v>31.096000000000011</v>
      </c>
      <c r="E567" s="30">
        <v>13686</v>
      </c>
      <c r="F567" s="31">
        <v>1.2</v>
      </c>
      <c r="G567" s="31">
        <v>1.22</v>
      </c>
      <c r="H567" s="31">
        <v>1.35</v>
      </c>
      <c r="I567" s="31">
        <v>1.3</v>
      </c>
      <c r="J567" s="31">
        <v>1.0777000000000001</v>
      </c>
      <c r="K567" s="30">
        <f t="shared" si="97"/>
        <v>37895.934060504005</v>
      </c>
      <c r="L567" s="30">
        <f t="shared" si="95"/>
        <v>3588694.8766000276</v>
      </c>
    </row>
    <row r="568" spans="1:12" ht="30" customHeight="1" x14ac:dyDescent="0.2">
      <c r="A568" s="27" t="s">
        <v>1271</v>
      </c>
      <c r="B568" s="27"/>
      <c r="C568" s="27" t="s">
        <v>1232</v>
      </c>
      <c r="D568" s="31">
        <f>D567+0.316+0.216+0.35</f>
        <v>31.978000000000012</v>
      </c>
      <c r="E568" s="30">
        <v>71544</v>
      </c>
      <c r="F568" s="31"/>
      <c r="G568" s="31">
        <v>1.22</v>
      </c>
      <c r="H568" s="31">
        <v>1.35</v>
      </c>
      <c r="I568" s="31">
        <v>1.3</v>
      </c>
      <c r="J568" s="31"/>
      <c r="K568" s="30">
        <f t="shared" si="97"/>
        <v>153182.8584</v>
      </c>
      <c r="L568" s="65">
        <f t="shared" si="95"/>
        <v>3741877.7350000273</v>
      </c>
    </row>
    <row r="569" spans="1:12" ht="30" customHeight="1" x14ac:dyDescent="0.2">
      <c r="A569" s="27" t="s">
        <v>1324</v>
      </c>
      <c r="B569" s="27"/>
      <c r="C569" s="27" t="s">
        <v>1325</v>
      </c>
      <c r="D569" s="31">
        <v>2.35</v>
      </c>
      <c r="E569" s="27">
        <v>464691</v>
      </c>
      <c r="F569" s="31"/>
      <c r="G569" s="31"/>
      <c r="H569" s="31"/>
      <c r="I569" s="31"/>
      <c r="J569" s="31"/>
      <c r="K569" s="30">
        <f t="shared" si="97"/>
        <v>464691</v>
      </c>
      <c r="L569" s="30">
        <f>K569</f>
        <v>464691</v>
      </c>
    </row>
    <row r="570" spans="1:12" ht="30" customHeight="1" x14ac:dyDescent="0.2">
      <c r="A570" s="27" t="s">
        <v>1324</v>
      </c>
      <c r="B570" s="27"/>
      <c r="C570" s="27" t="s">
        <v>1326</v>
      </c>
      <c r="D570" s="31">
        <v>17.983000000000001</v>
      </c>
      <c r="E570" s="30">
        <v>591238</v>
      </c>
      <c r="F570" s="31"/>
      <c r="G570" s="31">
        <v>1.22</v>
      </c>
      <c r="H570" s="31">
        <v>1.35</v>
      </c>
      <c r="I570" s="31">
        <v>1.3</v>
      </c>
      <c r="J570" s="31">
        <v>1.0777000000000001</v>
      </c>
      <c r="K570" s="30">
        <f t="shared" si="97"/>
        <v>1364260.0870758602</v>
      </c>
      <c r="L570" s="30">
        <f t="shared" ref="L570:L579" si="114">K570+L569</f>
        <v>1828951.0870758602</v>
      </c>
    </row>
    <row r="571" spans="1:12" ht="30" customHeight="1" x14ac:dyDescent="0.2">
      <c r="A571" s="27" t="s">
        <v>1324</v>
      </c>
      <c r="B571" s="27"/>
      <c r="C571" s="27" t="s">
        <v>1327</v>
      </c>
      <c r="D571" s="31">
        <v>31.933</v>
      </c>
      <c r="E571" s="30">
        <v>591238</v>
      </c>
      <c r="F571" s="31"/>
      <c r="G571" s="31">
        <v>1.22</v>
      </c>
      <c r="H571" s="31">
        <v>1.35</v>
      </c>
      <c r="I571" s="31">
        <v>1.3</v>
      </c>
      <c r="J571" s="31">
        <v>1.0777000000000001</v>
      </c>
      <c r="K571" s="30">
        <f t="shared" si="97"/>
        <v>1364260.0870758602</v>
      </c>
      <c r="L571" s="30">
        <f t="shared" si="114"/>
        <v>3193211.1741517205</v>
      </c>
    </row>
    <row r="572" spans="1:12" ht="30" customHeight="1" x14ac:dyDescent="0.2">
      <c r="A572" s="27" t="s">
        <v>1324</v>
      </c>
      <c r="B572" s="27"/>
      <c r="C572" s="27" t="s">
        <v>564</v>
      </c>
      <c r="D572" s="31">
        <f>33.833+2.35</f>
        <v>36.183</v>
      </c>
      <c r="E572" s="30">
        <v>273348</v>
      </c>
      <c r="F572" s="31"/>
      <c r="G572" s="31"/>
      <c r="H572" s="31"/>
      <c r="I572" s="31"/>
      <c r="J572" s="31"/>
      <c r="K572" s="30">
        <f t="shared" si="97"/>
        <v>273348</v>
      </c>
      <c r="L572" s="30">
        <f t="shared" si="114"/>
        <v>3466559.1741517205</v>
      </c>
    </row>
    <row r="573" spans="1:12" ht="30" customHeight="1" x14ac:dyDescent="0.2">
      <c r="A573" s="27" t="s">
        <v>1324</v>
      </c>
      <c r="B573" s="27"/>
      <c r="C573" s="27" t="s">
        <v>1328</v>
      </c>
      <c r="D573" s="31">
        <f t="shared" ref="D573:D579" si="115">D572+D570-D569</f>
        <v>51.815999999999995</v>
      </c>
      <c r="E573" s="30">
        <v>591238</v>
      </c>
      <c r="F573" s="31"/>
      <c r="G573" s="31">
        <v>1.22</v>
      </c>
      <c r="H573" s="31">
        <v>1.35</v>
      </c>
      <c r="I573" s="31">
        <v>1.3</v>
      </c>
      <c r="J573" s="31">
        <v>1.0777000000000001</v>
      </c>
      <c r="K573" s="30">
        <f t="shared" si="97"/>
        <v>1364260.0870758602</v>
      </c>
      <c r="L573" s="30">
        <f t="shared" si="114"/>
        <v>4830819.2612275807</v>
      </c>
    </row>
    <row r="574" spans="1:12" ht="30" customHeight="1" x14ac:dyDescent="0.2">
      <c r="A574" s="27" t="s">
        <v>1324</v>
      </c>
      <c r="B574" s="27"/>
      <c r="C574" s="27" t="s">
        <v>1329</v>
      </c>
      <c r="D574" s="31">
        <f t="shared" si="115"/>
        <v>65.765999999999991</v>
      </c>
      <c r="E574" s="30">
        <v>591238</v>
      </c>
      <c r="F574" s="31"/>
      <c r="G574" s="31">
        <v>1.22</v>
      </c>
      <c r="H574" s="31">
        <v>1.35</v>
      </c>
      <c r="I574" s="31">
        <v>1.3</v>
      </c>
      <c r="J574" s="31">
        <v>1.0777000000000001</v>
      </c>
      <c r="K574" s="30">
        <f t="shared" si="97"/>
        <v>1364260.0870758602</v>
      </c>
      <c r="L574" s="30">
        <f t="shared" si="114"/>
        <v>6195079.348303441</v>
      </c>
    </row>
    <row r="575" spans="1:12" ht="30" customHeight="1" x14ac:dyDescent="0.2">
      <c r="A575" s="27" t="s">
        <v>1324</v>
      </c>
      <c r="B575" s="27"/>
      <c r="C575" s="27" t="s">
        <v>564</v>
      </c>
      <c r="D575" s="31">
        <f t="shared" si="115"/>
        <v>70.015999999999991</v>
      </c>
      <c r="E575" s="30">
        <v>273348</v>
      </c>
      <c r="F575" s="31"/>
      <c r="G575" s="31"/>
      <c r="H575" s="31"/>
      <c r="I575" s="31"/>
      <c r="J575" s="31"/>
      <c r="K575" s="30">
        <f t="shared" si="97"/>
        <v>273348</v>
      </c>
      <c r="L575" s="30">
        <f t="shared" si="114"/>
        <v>6468427.348303441</v>
      </c>
    </row>
    <row r="576" spans="1:12" ht="30" customHeight="1" x14ac:dyDescent="0.2">
      <c r="A576" s="27" t="s">
        <v>1324</v>
      </c>
      <c r="B576" s="27"/>
      <c r="C576" s="27" t="s">
        <v>1330</v>
      </c>
      <c r="D576" s="31">
        <f t="shared" si="115"/>
        <v>85.649000000000001</v>
      </c>
      <c r="E576" s="30">
        <v>591238</v>
      </c>
      <c r="F576" s="31"/>
      <c r="G576" s="31">
        <v>1.22</v>
      </c>
      <c r="H576" s="31">
        <v>1.35</v>
      </c>
      <c r="I576" s="31">
        <v>1.3</v>
      </c>
      <c r="J576" s="31">
        <v>1.0777000000000001</v>
      </c>
      <c r="K576" s="30">
        <f t="shared" si="97"/>
        <v>1364260.0870758602</v>
      </c>
      <c r="L576" s="30">
        <f t="shared" si="114"/>
        <v>7832687.4353793012</v>
      </c>
    </row>
    <row r="577" spans="1:12" ht="30" customHeight="1" x14ac:dyDescent="0.2">
      <c r="A577" s="27" t="s">
        <v>1324</v>
      </c>
      <c r="B577" s="27"/>
      <c r="C577" s="27" t="s">
        <v>1331</v>
      </c>
      <c r="D577" s="31">
        <f t="shared" si="115"/>
        <v>99.59899999999999</v>
      </c>
      <c r="E577" s="30">
        <v>591238</v>
      </c>
      <c r="F577" s="31"/>
      <c r="G577" s="31">
        <v>1.22</v>
      </c>
      <c r="H577" s="31">
        <v>1.35</v>
      </c>
      <c r="I577" s="31">
        <v>1.3</v>
      </c>
      <c r="J577" s="31">
        <v>1.0777000000000001</v>
      </c>
      <c r="K577" s="30">
        <f t="shared" si="97"/>
        <v>1364260.0870758602</v>
      </c>
      <c r="L577" s="30">
        <f t="shared" si="114"/>
        <v>9196947.5224551614</v>
      </c>
    </row>
    <row r="578" spans="1:12" ht="30" customHeight="1" x14ac:dyDescent="0.2">
      <c r="A578" s="27" t="s">
        <v>1324</v>
      </c>
      <c r="B578" s="27"/>
      <c r="C578" s="27" t="s">
        <v>564</v>
      </c>
      <c r="D578" s="31">
        <f t="shared" si="115"/>
        <v>103.84899999999999</v>
      </c>
      <c r="E578" s="30">
        <v>273348</v>
      </c>
      <c r="F578" s="31"/>
      <c r="G578" s="31"/>
      <c r="H578" s="31"/>
      <c r="I578" s="31"/>
      <c r="J578" s="31"/>
      <c r="K578" s="30">
        <f t="shared" si="97"/>
        <v>273348</v>
      </c>
      <c r="L578" s="30">
        <f t="shared" si="114"/>
        <v>9470295.5224551614</v>
      </c>
    </row>
    <row r="579" spans="1:12" ht="30" customHeight="1" x14ac:dyDescent="0.2">
      <c r="A579" s="27" t="s">
        <v>1324</v>
      </c>
      <c r="B579" s="27"/>
      <c r="C579" s="27" t="s">
        <v>1332</v>
      </c>
      <c r="D579" s="31">
        <f t="shared" si="115"/>
        <v>119.482</v>
      </c>
      <c r="E579" s="30">
        <f>E577*36/97</f>
        <v>219428.53608247422</v>
      </c>
      <c r="F579" s="31"/>
      <c r="G579" s="31">
        <v>1.22</v>
      </c>
      <c r="H579" s="31">
        <v>1.35</v>
      </c>
      <c r="I579" s="31">
        <v>1.3</v>
      </c>
      <c r="J579" s="31">
        <v>1.0777000000000001</v>
      </c>
      <c r="K579" s="30">
        <f t="shared" si="97"/>
        <v>506323.33128588629</v>
      </c>
      <c r="L579" s="65">
        <f t="shared" si="114"/>
        <v>9976618.8537410479</v>
      </c>
    </row>
    <row r="580" spans="1:12" ht="30" customHeight="1" x14ac:dyDescent="0.2">
      <c r="A580" s="27" t="s">
        <v>1333</v>
      </c>
      <c r="B580" s="27"/>
      <c r="C580" s="27" t="s">
        <v>936</v>
      </c>
      <c r="D580" s="31">
        <v>1.7</v>
      </c>
      <c r="E580" s="30">
        <v>566782</v>
      </c>
      <c r="F580" s="31"/>
      <c r="G580" s="31"/>
      <c r="H580" s="31"/>
      <c r="I580" s="31">
        <v>1.3</v>
      </c>
      <c r="J580" s="31"/>
      <c r="K580" s="30">
        <f t="shared" si="97"/>
        <v>736816.6</v>
      </c>
      <c r="L580" s="30">
        <f>K580</f>
        <v>736816.6</v>
      </c>
    </row>
    <row r="581" spans="1:12" ht="30" customHeight="1" x14ac:dyDescent="0.2">
      <c r="A581" s="27" t="s">
        <v>1333</v>
      </c>
      <c r="B581" s="27"/>
      <c r="C581" s="27" t="s">
        <v>1334</v>
      </c>
      <c r="D581" s="31">
        <v>17.533000000000001</v>
      </c>
      <c r="E581" s="30">
        <v>499400</v>
      </c>
      <c r="F581" s="31"/>
      <c r="G581" s="31">
        <v>1.22</v>
      </c>
      <c r="H581" s="31">
        <v>1.35</v>
      </c>
      <c r="I581" s="31">
        <v>1.3</v>
      </c>
      <c r="J581" s="31"/>
      <c r="K581" s="30">
        <f t="shared" si="97"/>
        <v>1069265.3400000001</v>
      </c>
      <c r="L581" s="30">
        <f t="shared" ref="L581:L583" si="116">K581+L580</f>
        <v>1806081.94</v>
      </c>
    </row>
    <row r="582" spans="1:12" ht="30" customHeight="1" x14ac:dyDescent="0.2">
      <c r="A582" s="27" t="s">
        <v>1333</v>
      </c>
      <c r="B582" s="27"/>
      <c r="C582" s="27" t="s">
        <v>1335</v>
      </c>
      <c r="D582" s="31">
        <v>33.700000000000003</v>
      </c>
      <c r="E582" s="30">
        <v>499400</v>
      </c>
      <c r="F582" s="31"/>
      <c r="G582" s="31">
        <v>1.22</v>
      </c>
      <c r="H582" s="31">
        <v>1.35</v>
      </c>
      <c r="I582" s="31">
        <v>1.3</v>
      </c>
      <c r="J582" s="31"/>
      <c r="K582" s="30">
        <f t="shared" si="97"/>
        <v>1069265.3400000001</v>
      </c>
      <c r="L582" s="30">
        <f t="shared" si="116"/>
        <v>2875347.2800000003</v>
      </c>
    </row>
    <row r="583" spans="1:12" ht="30" customHeight="1" x14ac:dyDescent="0.2">
      <c r="A583" s="27" t="s">
        <v>1333</v>
      </c>
      <c r="B583" s="27"/>
      <c r="C583" s="27" t="s">
        <v>1336</v>
      </c>
      <c r="D583" s="31">
        <v>49.816000000000003</v>
      </c>
      <c r="E583" s="30">
        <v>499400</v>
      </c>
      <c r="F583" s="31"/>
      <c r="G583" s="31">
        <v>1.22</v>
      </c>
      <c r="H583" s="31">
        <v>1.35</v>
      </c>
      <c r="I583" s="31">
        <v>1.3</v>
      </c>
      <c r="J583" s="31"/>
      <c r="K583" s="30">
        <f t="shared" si="97"/>
        <v>1069265.3400000001</v>
      </c>
      <c r="L583" s="65">
        <f t="shared" si="116"/>
        <v>3944612.62</v>
      </c>
    </row>
    <row r="584" spans="1:12" ht="30" customHeight="1" x14ac:dyDescent="0.2">
      <c r="A584" s="27" t="s">
        <v>1337</v>
      </c>
      <c r="B584" s="27"/>
      <c r="C584" s="27" t="s">
        <v>936</v>
      </c>
      <c r="D584" s="31">
        <v>1.6659999999999999</v>
      </c>
      <c r="E584" s="30">
        <v>566782</v>
      </c>
      <c r="F584" s="31"/>
      <c r="G584" s="31"/>
      <c r="H584" s="31"/>
      <c r="I584" s="31">
        <v>1.3</v>
      </c>
      <c r="J584" s="31"/>
      <c r="K584" s="30">
        <f t="shared" si="97"/>
        <v>736816.6</v>
      </c>
      <c r="L584" s="30">
        <f>K584</f>
        <v>736816.6</v>
      </c>
    </row>
    <row r="585" spans="1:12" ht="30" customHeight="1" x14ac:dyDescent="0.2">
      <c r="A585" s="27" t="s">
        <v>1337</v>
      </c>
      <c r="B585" s="27"/>
      <c r="C585" s="27" t="s">
        <v>1050</v>
      </c>
      <c r="D585" s="31">
        <f>1.9+0.166</f>
        <v>2.0659999999999998</v>
      </c>
      <c r="E585" s="30">
        <f t="shared" ref="E585:E586" si="117">13686*1.15</f>
        <v>15738.9</v>
      </c>
      <c r="F585" s="31"/>
      <c r="G585" s="31"/>
      <c r="H585" s="31">
        <v>1.35</v>
      </c>
      <c r="I585" s="31">
        <v>1.3</v>
      </c>
      <c r="J585" s="31">
        <v>1.0777000000000001</v>
      </c>
      <c r="K585" s="30">
        <f t="shared" si="97"/>
        <v>29767.980990150001</v>
      </c>
      <c r="L585" s="30">
        <f t="shared" ref="L585:L610" si="118">L584+K585</f>
        <v>766584.58099014999</v>
      </c>
    </row>
    <row r="586" spans="1:12" ht="30" customHeight="1" x14ac:dyDescent="0.2">
      <c r="A586" s="27" t="s">
        <v>1337</v>
      </c>
      <c r="B586" s="27"/>
      <c r="C586" s="27" t="s">
        <v>1051</v>
      </c>
      <c r="D586" s="31">
        <f>D585+0.416</f>
        <v>2.4819999999999998</v>
      </c>
      <c r="E586" s="30">
        <f t="shared" si="117"/>
        <v>15738.9</v>
      </c>
      <c r="F586" s="31">
        <v>2.2330000000000001</v>
      </c>
      <c r="G586" s="31"/>
      <c r="H586" s="31">
        <v>1.35</v>
      </c>
      <c r="I586" s="31">
        <v>1.3</v>
      </c>
      <c r="J586" s="31">
        <v>1.0777000000000001</v>
      </c>
      <c r="K586" s="30">
        <f t="shared" si="97"/>
        <v>66471.901551004965</v>
      </c>
      <c r="L586" s="30">
        <f t="shared" si="118"/>
        <v>833056.48254115495</v>
      </c>
    </row>
    <row r="587" spans="1:12" ht="30" customHeight="1" x14ac:dyDescent="0.2">
      <c r="A587" s="27" t="s">
        <v>1337</v>
      </c>
      <c r="B587" s="27"/>
      <c r="C587" s="27" t="s">
        <v>1052</v>
      </c>
      <c r="D587" s="31">
        <f>D586+0.316+0.283</f>
        <v>3.0809999999999995</v>
      </c>
      <c r="E587" s="27">
        <v>33003</v>
      </c>
      <c r="F587" s="31"/>
      <c r="G587" s="31">
        <v>1.22</v>
      </c>
      <c r="H587" s="31">
        <v>1.35</v>
      </c>
      <c r="I587" s="31">
        <v>1.3</v>
      </c>
      <c r="J587" s="31">
        <v>1.0777000000000001</v>
      </c>
      <c r="K587" s="30">
        <f t="shared" si="97"/>
        <v>76153.21690041</v>
      </c>
      <c r="L587" s="30">
        <f t="shared" si="118"/>
        <v>909209.69944156497</v>
      </c>
    </row>
    <row r="588" spans="1:12" ht="30" customHeight="1" x14ac:dyDescent="0.2">
      <c r="A588" s="27" t="s">
        <v>1337</v>
      </c>
      <c r="B588" s="27"/>
      <c r="C588" s="27" t="s">
        <v>1053</v>
      </c>
      <c r="D588" s="31">
        <f>D587+1.533/5</f>
        <v>3.3875999999999995</v>
      </c>
      <c r="E588" s="27">
        <v>33003</v>
      </c>
      <c r="F588" s="31"/>
      <c r="G588" s="31">
        <v>1.22</v>
      </c>
      <c r="H588" s="31">
        <v>1.35</v>
      </c>
      <c r="I588" s="31">
        <v>1.3</v>
      </c>
      <c r="J588" s="31">
        <v>1.0777000000000001</v>
      </c>
      <c r="K588" s="30">
        <f t="shared" si="97"/>
        <v>76153.21690041</v>
      </c>
      <c r="L588" s="30">
        <f t="shared" si="118"/>
        <v>985362.91634197498</v>
      </c>
    </row>
    <row r="589" spans="1:12" ht="30" customHeight="1" x14ac:dyDescent="0.2">
      <c r="A589" s="27" t="s">
        <v>1337</v>
      </c>
      <c r="B589" s="27"/>
      <c r="C589" s="27" t="s">
        <v>1054</v>
      </c>
      <c r="D589" s="31">
        <f t="shared" ref="D589:D591" si="119">D588+1.533/6</f>
        <v>3.6430999999999996</v>
      </c>
      <c r="E589" s="27">
        <v>33003</v>
      </c>
      <c r="F589" s="31"/>
      <c r="G589" s="31">
        <v>1.22</v>
      </c>
      <c r="H589" s="31">
        <v>1.35</v>
      </c>
      <c r="I589" s="31">
        <v>1.3</v>
      </c>
      <c r="J589" s="31">
        <v>1.0777000000000001</v>
      </c>
      <c r="K589" s="30">
        <f t="shared" si="97"/>
        <v>76153.21690041</v>
      </c>
      <c r="L589" s="30">
        <f t="shared" si="118"/>
        <v>1061516.133242385</v>
      </c>
    </row>
    <row r="590" spans="1:12" ht="30" customHeight="1" x14ac:dyDescent="0.2">
      <c r="A590" s="27" t="s">
        <v>1337</v>
      </c>
      <c r="B590" s="27"/>
      <c r="C590" s="27" t="s">
        <v>1055</v>
      </c>
      <c r="D590" s="31">
        <f t="shared" si="119"/>
        <v>3.8985999999999996</v>
      </c>
      <c r="E590" s="27">
        <v>33003</v>
      </c>
      <c r="F590" s="31"/>
      <c r="G590" s="31">
        <v>1.22</v>
      </c>
      <c r="H590" s="31">
        <v>1.35</v>
      </c>
      <c r="I590" s="31">
        <v>1.3</v>
      </c>
      <c r="J590" s="31">
        <v>1.0777000000000001</v>
      </c>
      <c r="K590" s="30">
        <f t="shared" si="97"/>
        <v>76153.21690041</v>
      </c>
      <c r="L590" s="30">
        <f t="shared" si="118"/>
        <v>1137669.3501427949</v>
      </c>
    </row>
    <row r="591" spans="1:12" ht="30" customHeight="1" x14ac:dyDescent="0.2">
      <c r="A591" s="27" t="s">
        <v>1337</v>
      </c>
      <c r="B591" s="27"/>
      <c r="C591" s="27" t="s">
        <v>1056</v>
      </c>
      <c r="D591" s="31">
        <f t="shared" si="119"/>
        <v>4.1540999999999997</v>
      </c>
      <c r="E591" s="27">
        <v>33003</v>
      </c>
      <c r="F591" s="31"/>
      <c r="G591" s="31">
        <v>1.22</v>
      </c>
      <c r="H591" s="31">
        <v>1.35</v>
      </c>
      <c r="I591" s="31">
        <v>1.3</v>
      </c>
      <c r="J591" s="31">
        <v>1.0777000000000001</v>
      </c>
      <c r="K591" s="30">
        <f t="shared" si="97"/>
        <v>76153.21690041</v>
      </c>
      <c r="L591" s="30">
        <f t="shared" si="118"/>
        <v>1213822.5670432048</v>
      </c>
    </row>
    <row r="592" spans="1:12" ht="30" customHeight="1" x14ac:dyDescent="0.2">
      <c r="A592" s="27" t="s">
        <v>1337</v>
      </c>
      <c r="B592" s="27"/>
      <c r="C592" s="27" t="s">
        <v>1057</v>
      </c>
      <c r="D592" s="31">
        <f>D591+1.533/5</f>
        <v>4.4606999999999992</v>
      </c>
      <c r="E592" s="27">
        <v>33003</v>
      </c>
      <c r="F592" s="31"/>
      <c r="G592" s="31">
        <v>1.22</v>
      </c>
      <c r="H592" s="31">
        <v>1.35</v>
      </c>
      <c r="I592" s="31">
        <v>1.3</v>
      </c>
      <c r="J592" s="31">
        <v>1.0777000000000001</v>
      </c>
      <c r="K592" s="30">
        <f t="shared" si="97"/>
        <v>76153.21690041</v>
      </c>
      <c r="L592" s="30">
        <f t="shared" si="118"/>
        <v>1289975.7839436147</v>
      </c>
    </row>
    <row r="593" spans="1:12" ht="30" customHeight="1" x14ac:dyDescent="0.2">
      <c r="A593" s="27" t="s">
        <v>1337</v>
      </c>
      <c r="B593" s="27"/>
      <c r="C593" s="27" t="s">
        <v>1338</v>
      </c>
      <c r="D593" s="31">
        <f>D592+0.316+0.216+0.616</f>
        <v>5.6086999999999989</v>
      </c>
      <c r="E593" s="27">
        <v>138585</v>
      </c>
      <c r="F593" s="31"/>
      <c r="G593" s="31">
        <v>1.22</v>
      </c>
      <c r="H593" s="31">
        <v>1.35</v>
      </c>
      <c r="I593" s="31">
        <v>1.3</v>
      </c>
      <c r="J593" s="31"/>
      <c r="K593" s="30">
        <f t="shared" si="97"/>
        <v>296724.34350000002</v>
      </c>
      <c r="L593" s="30">
        <f t="shared" si="118"/>
        <v>1586700.1274436146</v>
      </c>
    </row>
    <row r="594" spans="1:12" ht="30" customHeight="1" x14ac:dyDescent="0.2">
      <c r="A594" s="27" t="s">
        <v>1337</v>
      </c>
      <c r="B594" s="27"/>
      <c r="C594" s="27" t="s">
        <v>1061</v>
      </c>
      <c r="D594" s="31">
        <f>D593+0.4+0.166</f>
        <v>6.1746999999999996</v>
      </c>
      <c r="E594" s="30">
        <f t="shared" ref="E594:E595" si="120">13686*1.15</f>
        <v>15738.9</v>
      </c>
      <c r="F594" s="31"/>
      <c r="G594" s="31"/>
      <c r="H594" s="31">
        <v>1.35</v>
      </c>
      <c r="I594" s="31">
        <v>1.3</v>
      </c>
      <c r="J594" s="31">
        <v>1.0777000000000001</v>
      </c>
      <c r="K594" s="30">
        <f t="shared" si="97"/>
        <v>29767.980990150001</v>
      </c>
      <c r="L594" s="30">
        <f t="shared" si="118"/>
        <v>1616468.1084337647</v>
      </c>
    </row>
    <row r="595" spans="1:12" ht="30" customHeight="1" x14ac:dyDescent="0.2">
      <c r="A595" s="27" t="s">
        <v>1337</v>
      </c>
      <c r="B595" s="27"/>
      <c r="C595" s="27" t="s">
        <v>1062</v>
      </c>
      <c r="D595" s="31">
        <f>D594+0.416</f>
        <v>6.5907</v>
      </c>
      <c r="E595" s="30">
        <f t="shared" si="120"/>
        <v>15738.9</v>
      </c>
      <c r="F595" s="31">
        <v>2.2330000000000001</v>
      </c>
      <c r="G595" s="31"/>
      <c r="H595" s="31">
        <v>1.35</v>
      </c>
      <c r="I595" s="31">
        <v>1.3</v>
      </c>
      <c r="J595" s="31">
        <v>1.0777000000000001</v>
      </c>
      <c r="K595" s="30">
        <f t="shared" si="97"/>
        <v>66471.901551004965</v>
      </c>
      <c r="L595" s="30">
        <f t="shared" si="118"/>
        <v>1682940.0099847696</v>
      </c>
    </row>
    <row r="596" spans="1:12" ht="30" customHeight="1" x14ac:dyDescent="0.2">
      <c r="A596" s="27" t="s">
        <v>1337</v>
      </c>
      <c r="B596" s="27"/>
      <c r="C596" s="27" t="s">
        <v>1063</v>
      </c>
      <c r="D596" s="31">
        <f>D595+0.316+0.283</f>
        <v>7.1897000000000002</v>
      </c>
      <c r="E596" s="27">
        <v>33003</v>
      </c>
      <c r="F596" s="31"/>
      <c r="G596" s="31">
        <v>1.22</v>
      </c>
      <c r="H596" s="31">
        <v>1.35</v>
      </c>
      <c r="I596" s="31">
        <v>1.3</v>
      </c>
      <c r="J596" s="31">
        <v>1.0777000000000001</v>
      </c>
      <c r="K596" s="30">
        <f t="shared" si="97"/>
        <v>76153.21690041</v>
      </c>
      <c r="L596" s="30">
        <f t="shared" si="118"/>
        <v>1759093.2268851795</v>
      </c>
    </row>
    <row r="597" spans="1:12" ht="30" customHeight="1" x14ac:dyDescent="0.2">
      <c r="A597" s="27" t="s">
        <v>1337</v>
      </c>
      <c r="B597" s="27"/>
      <c r="C597" s="27" t="s">
        <v>1064</v>
      </c>
      <c r="D597" s="31">
        <f>D596+1.533/5</f>
        <v>7.4962999999999997</v>
      </c>
      <c r="E597" s="27">
        <v>33003</v>
      </c>
      <c r="F597" s="31"/>
      <c r="G597" s="31">
        <v>1.22</v>
      </c>
      <c r="H597" s="31">
        <v>1.35</v>
      </c>
      <c r="I597" s="31">
        <v>1.3</v>
      </c>
      <c r="J597" s="31">
        <v>1.0777000000000001</v>
      </c>
      <c r="K597" s="30">
        <f t="shared" si="97"/>
        <v>76153.21690041</v>
      </c>
      <c r="L597" s="30">
        <f t="shared" si="118"/>
        <v>1835246.4437855894</v>
      </c>
    </row>
    <row r="598" spans="1:12" ht="30" customHeight="1" x14ac:dyDescent="0.2">
      <c r="A598" s="27" t="s">
        <v>1337</v>
      </c>
      <c r="B598" s="27"/>
      <c r="C598" s="27" t="s">
        <v>1065</v>
      </c>
      <c r="D598" s="31">
        <f t="shared" ref="D598:D600" si="121">D597+1.533/6</f>
        <v>7.7517999999999994</v>
      </c>
      <c r="E598" s="27">
        <v>33003</v>
      </c>
      <c r="F598" s="31"/>
      <c r="G598" s="31">
        <v>1.22</v>
      </c>
      <c r="H598" s="31">
        <v>1.35</v>
      </c>
      <c r="I598" s="31">
        <v>1.3</v>
      </c>
      <c r="J598" s="31">
        <v>1.0777000000000001</v>
      </c>
      <c r="K598" s="30">
        <f t="shared" si="97"/>
        <v>76153.21690041</v>
      </c>
      <c r="L598" s="30">
        <f t="shared" si="118"/>
        <v>1911399.6606859993</v>
      </c>
    </row>
    <row r="599" spans="1:12" ht="30" customHeight="1" x14ac:dyDescent="0.2">
      <c r="A599" s="27" t="s">
        <v>1337</v>
      </c>
      <c r="B599" s="27"/>
      <c r="C599" s="27" t="s">
        <v>1066</v>
      </c>
      <c r="D599" s="31">
        <f t="shared" si="121"/>
        <v>8.007299999999999</v>
      </c>
      <c r="E599" s="27">
        <v>33003</v>
      </c>
      <c r="F599" s="31"/>
      <c r="G599" s="31">
        <v>1.22</v>
      </c>
      <c r="H599" s="31">
        <v>1.35</v>
      </c>
      <c r="I599" s="31">
        <v>1.3</v>
      </c>
      <c r="J599" s="31">
        <v>1.0777000000000001</v>
      </c>
      <c r="K599" s="30">
        <f t="shared" si="97"/>
        <v>76153.21690041</v>
      </c>
      <c r="L599" s="30">
        <f t="shared" si="118"/>
        <v>1987552.8775864092</v>
      </c>
    </row>
    <row r="600" spans="1:12" ht="30" customHeight="1" x14ac:dyDescent="0.2">
      <c r="A600" s="27" t="s">
        <v>1337</v>
      </c>
      <c r="B600" s="27"/>
      <c r="C600" s="27" t="s">
        <v>1067</v>
      </c>
      <c r="D600" s="31">
        <f t="shared" si="121"/>
        <v>8.2627999999999986</v>
      </c>
      <c r="E600" s="27">
        <v>33003</v>
      </c>
      <c r="F600" s="31"/>
      <c r="G600" s="31">
        <v>1.22</v>
      </c>
      <c r="H600" s="31">
        <v>1.35</v>
      </c>
      <c r="I600" s="31">
        <v>1.3</v>
      </c>
      <c r="J600" s="31">
        <v>1.0777000000000001</v>
      </c>
      <c r="K600" s="30">
        <f t="shared" si="97"/>
        <v>76153.21690041</v>
      </c>
      <c r="L600" s="30">
        <f t="shared" si="118"/>
        <v>2063706.0944868191</v>
      </c>
    </row>
    <row r="601" spans="1:12" ht="30" customHeight="1" x14ac:dyDescent="0.2">
      <c r="A601" s="27" t="s">
        <v>1337</v>
      </c>
      <c r="B601" s="27"/>
      <c r="C601" s="27" t="s">
        <v>1068</v>
      </c>
      <c r="D601" s="31">
        <f>D600+1.533/5</f>
        <v>8.5693999999999981</v>
      </c>
      <c r="E601" s="27">
        <v>33003</v>
      </c>
      <c r="F601" s="31"/>
      <c r="G601" s="31">
        <v>1.22</v>
      </c>
      <c r="H601" s="31">
        <v>1.35</v>
      </c>
      <c r="I601" s="31">
        <v>1.3</v>
      </c>
      <c r="J601" s="31">
        <v>1.0777000000000001</v>
      </c>
      <c r="K601" s="30">
        <f t="shared" si="97"/>
        <v>76153.21690041</v>
      </c>
      <c r="L601" s="30">
        <f t="shared" si="118"/>
        <v>2139859.3113872292</v>
      </c>
    </row>
    <row r="602" spans="1:12" ht="30" customHeight="1" x14ac:dyDescent="0.2">
      <c r="A602" s="27" t="s">
        <v>1337</v>
      </c>
      <c r="B602" s="27"/>
      <c r="C602" s="27" t="s">
        <v>1339</v>
      </c>
      <c r="D602" s="31">
        <f>D601+1.883</f>
        <v>10.452399999999997</v>
      </c>
      <c r="E602" s="27">
        <v>138585</v>
      </c>
      <c r="F602" s="31"/>
      <c r="G602" s="31">
        <v>1.22</v>
      </c>
      <c r="H602" s="31">
        <v>1.35</v>
      </c>
      <c r="I602" s="31">
        <v>1.3</v>
      </c>
      <c r="J602" s="31"/>
      <c r="K602" s="30">
        <f t="shared" si="97"/>
        <v>296724.34350000002</v>
      </c>
      <c r="L602" s="30">
        <f t="shared" si="118"/>
        <v>2436583.6548872292</v>
      </c>
    </row>
    <row r="603" spans="1:12" ht="30" customHeight="1" x14ac:dyDescent="0.2">
      <c r="A603" s="27" t="s">
        <v>1337</v>
      </c>
      <c r="B603" s="27"/>
      <c r="C603" s="27" t="s">
        <v>1072</v>
      </c>
      <c r="D603" s="31">
        <f>D602+0.4+0.166</f>
        <v>11.018399999999998</v>
      </c>
      <c r="E603" s="30">
        <f t="shared" ref="E603:E604" si="122">13686*1.15</f>
        <v>15738.9</v>
      </c>
      <c r="F603" s="31"/>
      <c r="G603" s="31"/>
      <c r="H603" s="31">
        <v>1.35</v>
      </c>
      <c r="I603" s="31">
        <v>1.3</v>
      </c>
      <c r="J603" s="31">
        <v>1.0777000000000001</v>
      </c>
      <c r="K603" s="30">
        <f t="shared" si="97"/>
        <v>29767.980990150001</v>
      </c>
      <c r="L603" s="30">
        <f t="shared" si="118"/>
        <v>2466351.6358773792</v>
      </c>
    </row>
    <row r="604" spans="1:12" ht="30" customHeight="1" x14ac:dyDescent="0.2">
      <c r="A604" s="27" t="s">
        <v>1337</v>
      </c>
      <c r="B604" s="27"/>
      <c r="C604" s="27" t="s">
        <v>1073</v>
      </c>
      <c r="D604" s="31">
        <f>D603+0.416</f>
        <v>11.434399999999998</v>
      </c>
      <c r="E604" s="30">
        <f t="shared" si="122"/>
        <v>15738.9</v>
      </c>
      <c r="F604" s="31">
        <v>2.2330000000000001</v>
      </c>
      <c r="G604" s="31"/>
      <c r="H604" s="31">
        <v>1.35</v>
      </c>
      <c r="I604" s="31">
        <v>1.3</v>
      </c>
      <c r="J604" s="31">
        <v>1.0777000000000001</v>
      </c>
      <c r="K604" s="30">
        <f t="shared" si="97"/>
        <v>66471.901551004965</v>
      </c>
      <c r="L604" s="30">
        <f t="shared" si="118"/>
        <v>2532823.5374283842</v>
      </c>
    </row>
    <row r="605" spans="1:12" ht="30" customHeight="1" x14ac:dyDescent="0.2">
      <c r="A605" s="27" t="s">
        <v>1337</v>
      </c>
      <c r="B605" s="27"/>
      <c r="C605" s="27" t="s">
        <v>1074</v>
      </c>
      <c r="D605" s="31">
        <f>D604+0.316+0.283</f>
        <v>12.033399999999999</v>
      </c>
      <c r="E605" s="27">
        <v>33003</v>
      </c>
      <c r="F605" s="31"/>
      <c r="G605" s="31">
        <v>1.22</v>
      </c>
      <c r="H605" s="31">
        <v>1.35</v>
      </c>
      <c r="I605" s="31">
        <v>1.3</v>
      </c>
      <c r="J605" s="31">
        <v>1.0777000000000001</v>
      </c>
      <c r="K605" s="30">
        <f t="shared" si="97"/>
        <v>76153.21690041</v>
      </c>
      <c r="L605" s="30">
        <f t="shared" si="118"/>
        <v>2608976.7543287943</v>
      </c>
    </row>
    <row r="606" spans="1:12" ht="30" customHeight="1" x14ac:dyDescent="0.2">
      <c r="A606" s="27" t="s">
        <v>1337</v>
      </c>
      <c r="B606" s="27"/>
      <c r="C606" s="27" t="s">
        <v>1075</v>
      </c>
      <c r="D606" s="31">
        <f>D605+1.533/5</f>
        <v>12.339999999999998</v>
      </c>
      <c r="E606" s="27">
        <v>33003</v>
      </c>
      <c r="F606" s="31"/>
      <c r="G606" s="31">
        <v>1.22</v>
      </c>
      <c r="H606" s="31">
        <v>1.35</v>
      </c>
      <c r="I606" s="31">
        <v>1.3</v>
      </c>
      <c r="J606" s="31">
        <v>1.0777000000000001</v>
      </c>
      <c r="K606" s="30">
        <f t="shared" si="97"/>
        <v>76153.21690041</v>
      </c>
      <c r="L606" s="30">
        <f t="shared" si="118"/>
        <v>2685129.9712292044</v>
      </c>
    </row>
    <row r="607" spans="1:12" ht="30" customHeight="1" x14ac:dyDescent="0.2">
      <c r="A607" s="27" t="s">
        <v>1337</v>
      </c>
      <c r="B607" s="27"/>
      <c r="C607" s="27" t="s">
        <v>1076</v>
      </c>
      <c r="D607" s="31">
        <f t="shared" ref="D607:D609" si="123">D606+1.533/6</f>
        <v>12.595499999999998</v>
      </c>
      <c r="E607" s="27">
        <v>33003</v>
      </c>
      <c r="F607" s="31"/>
      <c r="G607" s="31">
        <v>1.22</v>
      </c>
      <c r="H607" s="31">
        <v>1.35</v>
      </c>
      <c r="I607" s="31">
        <v>1.3</v>
      </c>
      <c r="J607" s="31">
        <v>1.0777000000000001</v>
      </c>
      <c r="K607" s="30">
        <f t="shared" si="97"/>
        <v>76153.21690041</v>
      </c>
      <c r="L607" s="30">
        <f t="shared" si="118"/>
        <v>2761283.1881296146</v>
      </c>
    </row>
    <row r="608" spans="1:12" ht="30" customHeight="1" x14ac:dyDescent="0.2">
      <c r="A608" s="27" t="s">
        <v>1337</v>
      </c>
      <c r="B608" s="27"/>
      <c r="C608" s="27" t="s">
        <v>1077</v>
      </c>
      <c r="D608" s="31">
        <f t="shared" si="123"/>
        <v>12.850999999999997</v>
      </c>
      <c r="E608" s="27">
        <v>33003</v>
      </c>
      <c r="F608" s="31"/>
      <c r="G608" s="31">
        <v>1.22</v>
      </c>
      <c r="H608" s="31">
        <v>1.35</v>
      </c>
      <c r="I608" s="31">
        <v>1.3</v>
      </c>
      <c r="J608" s="31">
        <v>1.0777000000000001</v>
      </c>
      <c r="K608" s="30">
        <f t="shared" si="97"/>
        <v>76153.21690041</v>
      </c>
      <c r="L608" s="30">
        <f t="shared" si="118"/>
        <v>2837436.4050300247</v>
      </c>
    </row>
    <row r="609" spans="1:12" ht="30" customHeight="1" x14ac:dyDescent="0.2">
      <c r="A609" s="27" t="s">
        <v>1337</v>
      </c>
      <c r="B609" s="27"/>
      <c r="C609" s="27" t="s">
        <v>1078</v>
      </c>
      <c r="D609" s="31">
        <f t="shared" si="123"/>
        <v>13.106499999999997</v>
      </c>
      <c r="E609" s="27">
        <v>33003</v>
      </c>
      <c r="F609" s="31"/>
      <c r="G609" s="31">
        <v>1.22</v>
      </c>
      <c r="H609" s="31">
        <v>1.35</v>
      </c>
      <c r="I609" s="31">
        <v>1.3</v>
      </c>
      <c r="J609" s="31">
        <v>1.0777000000000001</v>
      </c>
      <c r="K609" s="30">
        <f t="shared" si="97"/>
        <v>76153.21690041</v>
      </c>
      <c r="L609" s="30">
        <f t="shared" si="118"/>
        <v>2913589.6219304348</v>
      </c>
    </row>
    <row r="610" spans="1:12" ht="30" customHeight="1" x14ac:dyDescent="0.2">
      <c r="A610" s="27" t="s">
        <v>1337</v>
      </c>
      <c r="B610" s="27"/>
      <c r="C610" s="27" t="s">
        <v>1079</v>
      </c>
      <c r="D610" s="31">
        <f>D609+1.533/5</f>
        <v>13.413099999999996</v>
      </c>
      <c r="E610" s="27">
        <v>33003</v>
      </c>
      <c r="F610" s="31"/>
      <c r="G610" s="31">
        <v>1.22</v>
      </c>
      <c r="H610" s="31">
        <v>1.35</v>
      </c>
      <c r="I610" s="31">
        <v>1.3</v>
      </c>
      <c r="J610" s="31">
        <v>1.0777000000000001</v>
      </c>
      <c r="K610" s="30">
        <f t="shared" si="97"/>
        <v>76153.21690041</v>
      </c>
      <c r="L610" s="65">
        <f t="shared" si="118"/>
        <v>2989742.838830845</v>
      </c>
    </row>
    <row r="611" spans="1:12" ht="30" customHeight="1" x14ac:dyDescent="0.2">
      <c r="A611" s="27" t="s">
        <v>1340</v>
      </c>
      <c r="B611" s="27"/>
      <c r="C611" s="27" t="s">
        <v>936</v>
      </c>
      <c r="D611" s="31">
        <v>1.7</v>
      </c>
      <c r="E611" s="30">
        <v>566782</v>
      </c>
      <c r="F611" s="31"/>
      <c r="G611" s="31"/>
      <c r="H611" s="31"/>
      <c r="I611" s="31">
        <v>1.3</v>
      </c>
      <c r="J611" s="31"/>
      <c r="K611" s="30">
        <f t="shared" si="97"/>
        <v>736816.6</v>
      </c>
      <c r="L611" s="30">
        <f>K611</f>
        <v>736816.6</v>
      </c>
    </row>
    <row r="612" spans="1:12" ht="30" customHeight="1" x14ac:dyDescent="0.2">
      <c r="A612" s="27" t="s">
        <v>1340</v>
      </c>
      <c r="B612" s="27"/>
      <c r="C612" s="27" t="s">
        <v>1341</v>
      </c>
      <c r="D612" s="31">
        <v>3.35</v>
      </c>
      <c r="E612" s="30">
        <v>95924</v>
      </c>
      <c r="F612" s="31"/>
      <c r="G612" s="31">
        <f t="shared" ref="G612:G625" si="124">1.22</f>
        <v>1.22</v>
      </c>
      <c r="H612" s="31">
        <v>1.35</v>
      </c>
      <c r="I612" s="31">
        <v>1.3</v>
      </c>
      <c r="J612" s="31">
        <v>1.0777000000000001</v>
      </c>
      <c r="K612" s="30">
        <f t="shared" si="97"/>
        <v>221341.12589628002</v>
      </c>
      <c r="L612" s="30">
        <f t="shared" ref="L612:L625" si="125">L611+K612</f>
        <v>958157.72589628003</v>
      </c>
    </row>
    <row r="613" spans="1:12" ht="30" customHeight="1" x14ac:dyDescent="0.2">
      <c r="A613" s="27" t="s">
        <v>1340</v>
      </c>
      <c r="B613" s="27"/>
      <c r="C613" s="27" t="s">
        <v>1342</v>
      </c>
      <c r="D613" s="31">
        <f>D612+1.183</f>
        <v>4.5330000000000004</v>
      </c>
      <c r="E613" s="30">
        <v>95924</v>
      </c>
      <c r="F613" s="31"/>
      <c r="G613" s="31">
        <f t="shared" si="124"/>
        <v>1.22</v>
      </c>
      <c r="H613" s="31">
        <v>1.35</v>
      </c>
      <c r="I613" s="31">
        <v>1.3</v>
      </c>
      <c r="J613" s="31">
        <v>1.0777000000000001</v>
      </c>
      <c r="K613" s="30">
        <f t="shared" si="97"/>
        <v>221341.12589628002</v>
      </c>
      <c r="L613" s="30">
        <f t="shared" si="125"/>
        <v>1179498.85179256</v>
      </c>
    </row>
    <row r="614" spans="1:12" ht="30" customHeight="1" x14ac:dyDescent="0.2">
      <c r="A614" s="27" t="s">
        <v>1340</v>
      </c>
      <c r="B614" s="27"/>
      <c r="C614" s="27" t="s">
        <v>1343</v>
      </c>
      <c r="D614" s="31">
        <f>D613+1.317</f>
        <v>5.8500000000000005</v>
      </c>
      <c r="E614" s="30">
        <v>95924</v>
      </c>
      <c r="F614" s="31"/>
      <c r="G614" s="31">
        <f t="shared" si="124"/>
        <v>1.22</v>
      </c>
      <c r="H614" s="31">
        <v>1.35</v>
      </c>
      <c r="I614" s="31">
        <v>1.3</v>
      </c>
      <c r="J614" s="31">
        <v>1.0777000000000001</v>
      </c>
      <c r="K614" s="30">
        <f t="shared" si="97"/>
        <v>221341.12589628002</v>
      </c>
      <c r="L614" s="30">
        <f t="shared" si="125"/>
        <v>1400839.9776888399</v>
      </c>
    </row>
    <row r="615" spans="1:12" ht="30" customHeight="1" x14ac:dyDescent="0.2">
      <c r="A615" s="27" t="s">
        <v>1340</v>
      </c>
      <c r="B615" s="27"/>
      <c r="C615" s="27" t="s">
        <v>1344</v>
      </c>
      <c r="D615" s="31">
        <f>D614+1.183</f>
        <v>7.0330000000000004</v>
      </c>
      <c r="E615" s="30">
        <v>95924</v>
      </c>
      <c r="F615" s="31"/>
      <c r="G615" s="31">
        <f t="shared" si="124"/>
        <v>1.22</v>
      </c>
      <c r="H615" s="31">
        <v>1.35</v>
      </c>
      <c r="I615" s="31">
        <v>1.3</v>
      </c>
      <c r="J615" s="31">
        <v>1.0777000000000001</v>
      </c>
      <c r="K615" s="30">
        <f t="shared" si="97"/>
        <v>221341.12589628002</v>
      </c>
      <c r="L615" s="30">
        <f t="shared" si="125"/>
        <v>1622181.1035851198</v>
      </c>
    </row>
    <row r="616" spans="1:12" ht="30" customHeight="1" x14ac:dyDescent="0.2">
      <c r="A616" s="27" t="s">
        <v>1340</v>
      </c>
      <c r="B616" s="27"/>
      <c r="C616" s="27" t="s">
        <v>1345</v>
      </c>
      <c r="D616" s="31">
        <f>D615+1.317</f>
        <v>8.35</v>
      </c>
      <c r="E616" s="30">
        <v>95924</v>
      </c>
      <c r="F616" s="31"/>
      <c r="G616" s="31">
        <f t="shared" si="124"/>
        <v>1.22</v>
      </c>
      <c r="H616" s="31">
        <v>1.35</v>
      </c>
      <c r="I616" s="31">
        <v>1.3</v>
      </c>
      <c r="J616" s="31">
        <v>1.0777000000000001</v>
      </c>
      <c r="K616" s="30">
        <f t="shared" si="97"/>
        <v>221341.12589628002</v>
      </c>
      <c r="L616" s="30">
        <f t="shared" si="125"/>
        <v>1843522.2294813998</v>
      </c>
    </row>
    <row r="617" spans="1:12" ht="30" customHeight="1" x14ac:dyDescent="0.2">
      <c r="A617" s="27" t="s">
        <v>1340</v>
      </c>
      <c r="B617" s="27"/>
      <c r="C617" s="27" t="s">
        <v>1346</v>
      </c>
      <c r="D617" s="31">
        <f>D616+1.183</f>
        <v>9.5329999999999995</v>
      </c>
      <c r="E617" s="30">
        <v>95924</v>
      </c>
      <c r="F617" s="31"/>
      <c r="G617" s="31">
        <f t="shared" si="124"/>
        <v>1.22</v>
      </c>
      <c r="H617" s="31">
        <v>1.35</v>
      </c>
      <c r="I617" s="31">
        <v>1.3</v>
      </c>
      <c r="J617" s="31">
        <v>1.0777000000000001</v>
      </c>
      <c r="K617" s="30">
        <f t="shared" si="97"/>
        <v>221341.12589628002</v>
      </c>
      <c r="L617" s="30">
        <f t="shared" si="125"/>
        <v>2064863.3553776797</v>
      </c>
    </row>
    <row r="618" spans="1:12" ht="30" customHeight="1" x14ac:dyDescent="0.2">
      <c r="A618" s="27" t="s">
        <v>1340</v>
      </c>
      <c r="B618" s="27"/>
      <c r="C618" s="27" t="s">
        <v>1347</v>
      </c>
      <c r="D618" s="31">
        <f>D617+1.317</f>
        <v>10.85</v>
      </c>
      <c r="E618" s="30">
        <v>95924</v>
      </c>
      <c r="F618" s="31"/>
      <c r="G618" s="31">
        <f t="shared" si="124"/>
        <v>1.22</v>
      </c>
      <c r="H618" s="31">
        <v>1.35</v>
      </c>
      <c r="I618" s="31">
        <v>1.3</v>
      </c>
      <c r="J618" s="31">
        <v>1.0777000000000001</v>
      </c>
      <c r="K618" s="30">
        <f t="shared" si="97"/>
        <v>221341.12589628002</v>
      </c>
      <c r="L618" s="30">
        <f t="shared" si="125"/>
        <v>2286204.4812739599</v>
      </c>
    </row>
    <row r="619" spans="1:12" ht="30" customHeight="1" x14ac:dyDescent="0.2">
      <c r="A619" s="27" t="s">
        <v>1340</v>
      </c>
      <c r="B619" s="27"/>
      <c r="C619" s="27" t="s">
        <v>1348</v>
      </c>
      <c r="D619" s="31">
        <f>D618+1.183</f>
        <v>12.032999999999999</v>
      </c>
      <c r="E619" s="30">
        <v>95924</v>
      </c>
      <c r="F619" s="31"/>
      <c r="G619" s="31">
        <f t="shared" si="124"/>
        <v>1.22</v>
      </c>
      <c r="H619" s="31">
        <v>1.35</v>
      </c>
      <c r="I619" s="31">
        <v>1.3</v>
      </c>
      <c r="J619" s="31">
        <v>1.0777000000000001</v>
      </c>
      <c r="K619" s="30">
        <f t="shared" si="97"/>
        <v>221341.12589628002</v>
      </c>
      <c r="L619" s="30">
        <f t="shared" si="125"/>
        <v>2507545.60717024</v>
      </c>
    </row>
    <row r="620" spans="1:12" ht="30" customHeight="1" x14ac:dyDescent="0.2">
      <c r="A620" s="27" t="s">
        <v>1340</v>
      </c>
      <c r="B620" s="27"/>
      <c r="C620" s="27" t="s">
        <v>1349</v>
      </c>
      <c r="D620" s="31">
        <f>D619+1.317</f>
        <v>13.35</v>
      </c>
      <c r="E620" s="30">
        <v>95924</v>
      </c>
      <c r="F620" s="31"/>
      <c r="G620" s="31">
        <f t="shared" si="124"/>
        <v>1.22</v>
      </c>
      <c r="H620" s="31">
        <v>1.35</v>
      </c>
      <c r="I620" s="31">
        <v>1.3</v>
      </c>
      <c r="J620" s="31">
        <v>1.0777000000000001</v>
      </c>
      <c r="K620" s="30">
        <f t="shared" si="97"/>
        <v>221341.12589628002</v>
      </c>
      <c r="L620" s="30">
        <f t="shared" si="125"/>
        <v>2728886.7330665202</v>
      </c>
    </row>
    <row r="621" spans="1:12" ht="30" customHeight="1" x14ac:dyDescent="0.2">
      <c r="A621" s="27" t="s">
        <v>1340</v>
      </c>
      <c r="B621" s="27"/>
      <c r="C621" s="27" t="s">
        <v>1350</v>
      </c>
      <c r="D621" s="31">
        <f>D620+1.183</f>
        <v>14.532999999999999</v>
      </c>
      <c r="E621" s="30">
        <v>95924</v>
      </c>
      <c r="F621" s="31"/>
      <c r="G621" s="31">
        <f t="shared" si="124"/>
        <v>1.22</v>
      </c>
      <c r="H621" s="31">
        <v>1.35</v>
      </c>
      <c r="I621" s="31">
        <v>1.3</v>
      </c>
      <c r="J621" s="31">
        <v>1.0777000000000001</v>
      </c>
      <c r="K621" s="30">
        <f t="shared" si="97"/>
        <v>221341.12589628002</v>
      </c>
      <c r="L621" s="30">
        <f t="shared" si="125"/>
        <v>2950227.8589628004</v>
      </c>
    </row>
    <row r="622" spans="1:12" ht="30" customHeight="1" x14ac:dyDescent="0.2">
      <c r="A622" s="27" t="s">
        <v>1340</v>
      </c>
      <c r="B622" s="27"/>
      <c r="C622" s="27" t="s">
        <v>1338</v>
      </c>
      <c r="D622" s="31">
        <f>D621+1.2</f>
        <v>15.732999999999999</v>
      </c>
      <c r="E622" s="30">
        <v>138585</v>
      </c>
      <c r="F622" s="31"/>
      <c r="G622" s="31">
        <f t="shared" si="124"/>
        <v>1.22</v>
      </c>
      <c r="H622" s="31">
        <v>1.35</v>
      </c>
      <c r="I622" s="31">
        <v>1.3</v>
      </c>
      <c r="J622" s="31"/>
      <c r="K622" s="30">
        <f t="shared" si="97"/>
        <v>296724.34350000002</v>
      </c>
      <c r="L622" s="30">
        <f t="shared" si="125"/>
        <v>3246952.2024628003</v>
      </c>
    </row>
    <row r="623" spans="1:12" ht="30" customHeight="1" x14ac:dyDescent="0.2">
      <c r="A623" s="27" t="s">
        <v>1340</v>
      </c>
      <c r="B623" s="27"/>
      <c r="C623" s="27" t="s">
        <v>1339</v>
      </c>
      <c r="D623" s="31">
        <f t="shared" ref="D623:D625" si="126">D622+1.85</f>
        <v>17.582999999999998</v>
      </c>
      <c r="E623" s="30">
        <v>138585</v>
      </c>
      <c r="F623" s="31"/>
      <c r="G623" s="31">
        <f t="shared" si="124"/>
        <v>1.22</v>
      </c>
      <c r="H623" s="31">
        <v>1.35</v>
      </c>
      <c r="I623" s="31">
        <v>1.3</v>
      </c>
      <c r="J623" s="31"/>
      <c r="K623" s="30">
        <f t="shared" si="97"/>
        <v>296724.34350000002</v>
      </c>
      <c r="L623" s="30">
        <f t="shared" si="125"/>
        <v>3543676.5459628003</v>
      </c>
    </row>
    <row r="624" spans="1:12" ht="30" customHeight="1" x14ac:dyDescent="0.2">
      <c r="A624" s="27" t="s">
        <v>1340</v>
      </c>
      <c r="B624" s="27"/>
      <c r="C624" s="27" t="s">
        <v>1351</v>
      </c>
      <c r="D624" s="31">
        <f t="shared" si="126"/>
        <v>19.433</v>
      </c>
      <c r="E624" s="30">
        <v>138585</v>
      </c>
      <c r="F624" s="31"/>
      <c r="G624" s="31">
        <f t="shared" si="124"/>
        <v>1.22</v>
      </c>
      <c r="H624" s="31">
        <v>1.35</v>
      </c>
      <c r="I624" s="31">
        <v>1.3</v>
      </c>
      <c r="J624" s="31"/>
      <c r="K624" s="30">
        <f t="shared" si="97"/>
        <v>296724.34350000002</v>
      </c>
      <c r="L624" s="30">
        <f t="shared" si="125"/>
        <v>3840400.8894628002</v>
      </c>
    </row>
    <row r="625" spans="1:12" ht="30" customHeight="1" x14ac:dyDescent="0.2">
      <c r="A625" s="27" t="s">
        <v>1340</v>
      </c>
      <c r="B625" s="27"/>
      <c r="C625" s="27" t="s">
        <v>1352</v>
      </c>
      <c r="D625" s="31">
        <f t="shared" si="126"/>
        <v>21.283000000000001</v>
      </c>
      <c r="E625" s="30">
        <v>138585</v>
      </c>
      <c r="F625" s="31"/>
      <c r="G625" s="31">
        <f t="shared" si="124"/>
        <v>1.22</v>
      </c>
      <c r="H625" s="31">
        <v>1.35</v>
      </c>
      <c r="I625" s="31">
        <v>1.3</v>
      </c>
      <c r="J625" s="31"/>
      <c r="K625" s="30">
        <f t="shared" si="97"/>
        <v>296724.34350000002</v>
      </c>
      <c r="L625" s="65">
        <f t="shared" si="125"/>
        <v>4137125.2329628002</v>
      </c>
    </row>
    <row r="626" spans="1:12" ht="30" customHeight="1" x14ac:dyDescent="0.2">
      <c r="A626" s="27" t="s">
        <v>1353</v>
      </c>
      <c r="B626" s="27"/>
      <c r="C626" s="27" t="s">
        <v>1354</v>
      </c>
      <c r="D626" s="31">
        <v>1.45</v>
      </c>
      <c r="E626" s="30">
        <v>299801</v>
      </c>
      <c r="F626" s="31"/>
      <c r="G626" s="31">
        <v>1.22</v>
      </c>
      <c r="H626" s="31">
        <v>1.35</v>
      </c>
      <c r="I626" s="31">
        <v>1.3</v>
      </c>
      <c r="J626" s="31"/>
      <c r="K626" s="30">
        <f t="shared" si="97"/>
        <v>641903.92110000004</v>
      </c>
      <c r="L626" s="30">
        <f>K626</f>
        <v>641903.92110000004</v>
      </c>
    </row>
    <row r="627" spans="1:12" ht="30" customHeight="1" x14ac:dyDescent="0.2">
      <c r="A627" s="27" t="s">
        <v>1353</v>
      </c>
      <c r="B627" s="27"/>
      <c r="C627" s="27" t="s">
        <v>936</v>
      </c>
      <c r="D627" s="31">
        <f>D626+1.7</f>
        <v>3.15</v>
      </c>
      <c r="E627" s="30">
        <v>566782</v>
      </c>
      <c r="F627" s="31"/>
      <c r="G627" s="31"/>
      <c r="H627" s="31"/>
      <c r="I627" s="31">
        <v>1.3</v>
      </c>
      <c r="J627" s="31"/>
      <c r="K627" s="30">
        <f t="shared" si="97"/>
        <v>736816.6</v>
      </c>
      <c r="L627" s="30">
        <f t="shared" ref="L627:L629" si="127">K627+L626</f>
        <v>1378720.5211</v>
      </c>
    </row>
    <row r="628" spans="1:12" ht="30" customHeight="1" x14ac:dyDescent="0.2">
      <c r="A628" s="27" t="s">
        <v>1353</v>
      </c>
      <c r="B628" s="27"/>
      <c r="C628" s="27" t="s">
        <v>1338</v>
      </c>
      <c r="D628" s="31">
        <v>5.0659999999999998</v>
      </c>
      <c r="E628" s="30">
        <v>138585</v>
      </c>
      <c r="F628" s="31"/>
      <c r="G628" s="31">
        <v>1.22</v>
      </c>
      <c r="H628" s="31">
        <v>1.35</v>
      </c>
      <c r="I628" s="31">
        <v>1.3</v>
      </c>
      <c r="J628" s="31"/>
      <c r="K628" s="30">
        <f t="shared" si="97"/>
        <v>296724.34350000002</v>
      </c>
      <c r="L628" s="30">
        <f t="shared" si="127"/>
        <v>1675444.8646</v>
      </c>
    </row>
    <row r="629" spans="1:12" ht="30" customHeight="1" x14ac:dyDescent="0.2">
      <c r="A629" s="27" t="s">
        <v>1353</v>
      </c>
      <c r="B629" s="27"/>
      <c r="C629" s="27" t="s">
        <v>1339</v>
      </c>
      <c r="D629" s="31">
        <f t="shared" ref="D629:D630" si="128">D628+1.85</f>
        <v>6.9160000000000004</v>
      </c>
      <c r="E629" s="30">
        <v>138585</v>
      </c>
      <c r="F629" s="31"/>
      <c r="G629" s="31">
        <v>1.22</v>
      </c>
      <c r="H629" s="31">
        <v>1.35</v>
      </c>
      <c r="I629" s="31">
        <v>1.3</v>
      </c>
      <c r="J629" s="31"/>
      <c r="K629" s="30">
        <f t="shared" si="97"/>
        <v>296724.34350000002</v>
      </c>
      <c r="L629" s="30">
        <f t="shared" si="127"/>
        <v>1972169.2080999999</v>
      </c>
    </row>
    <row r="630" spans="1:12" ht="30" customHeight="1" x14ac:dyDescent="0.2">
      <c r="A630" s="27" t="s">
        <v>1353</v>
      </c>
      <c r="B630" s="27"/>
      <c r="C630" s="27" t="s">
        <v>1351</v>
      </c>
      <c r="D630" s="31">
        <f t="shared" si="128"/>
        <v>8.766</v>
      </c>
      <c r="E630" s="30">
        <v>138585</v>
      </c>
      <c r="F630" s="31"/>
      <c r="G630" s="31">
        <v>1.22</v>
      </c>
      <c r="H630" s="31">
        <v>1.35</v>
      </c>
      <c r="I630" s="31">
        <v>1.3</v>
      </c>
      <c r="J630" s="31"/>
      <c r="K630" s="30">
        <f t="shared" si="97"/>
        <v>296724.34350000002</v>
      </c>
      <c r="L630" s="65">
        <f>L629+K630</f>
        <v>2268893.5515999999</v>
      </c>
    </row>
    <row r="631" spans="1:12" ht="30" customHeight="1" x14ac:dyDescent="0.2">
      <c r="A631" s="27" t="s">
        <v>1355</v>
      </c>
      <c r="B631" s="27"/>
      <c r="C631" s="27" t="s">
        <v>936</v>
      </c>
      <c r="D631" s="31">
        <v>1.7</v>
      </c>
      <c r="E631" s="30">
        <v>566782</v>
      </c>
      <c r="F631" s="31"/>
      <c r="G631" s="31"/>
      <c r="H631" s="31"/>
      <c r="I631" s="31">
        <v>1.3</v>
      </c>
      <c r="J631" s="31"/>
      <c r="K631" s="30">
        <f t="shared" si="97"/>
        <v>736816.6</v>
      </c>
      <c r="L631" s="30">
        <f>K631</f>
        <v>736816.6</v>
      </c>
    </row>
    <row r="632" spans="1:12" ht="30" customHeight="1" x14ac:dyDescent="0.2">
      <c r="A632" s="27" t="s">
        <v>1355</v>
      </c>
      <c r="B632" s="27"/>
      <c r="C632" s="27" t="s">
        <v>1356</v>
      </c>
      <c r="D632" s="31">
        <v>2.6829999999999998</v>
      </c>
      <c r="E632" s="30">
        <v>35506</v>
      </c>
      <c r="F632" s="31">
        <v>1.4379999999999999</v>
      </c>
      <c r="G632" s="31">
        <v>1.17</v>
      </c>
      <c r="H632" s="31">
        <v>1.35</v>
      </c>
      <c r="I632" s="31">
        <v>1.3</v>
      </c>
      <c r="J632" s="31">
        <v>1.0777000000000001</v>
      </c>
      <c r="K632" s="30">
        <f t="shared" si="97"/>
        <v>112985.18477506028</v>
      </c>
      <c r="L632" s="30">
        <f t="shared" ref="L632:L662" si="129">K632+L631</f>
        <v>849801.78477506025</v>
      </c>
    </row>
    <row r="633" spans="1:12" ht="30" customHeight="1" x14ac:dyDescent="0.2">
      <c r="A633" s="27" t="s">
        <v>1355</v>
      </c>
      <c r="B633" s="27"/>
      <c r="C633" s="27" t="s">
        <v>1357</v>
      </c>
      <c r="D633" s="31">
        <f t="shared" ref="D633:D634" si="130">D632+0.5</f>
        <v>3.1829999999999998</v>
      </c>
      <c r="E633" s="30">
        <v>35506</v>
      </c>
      <c r="F633" s="31">
        <v>1.4379999999999999</v>
      </c>
      <c r="G633" s="31">
        <v>1.17</v>
      </c>
      <c r="H633" s="31">
        <v>1.35</v>
      </c>
      <c r="I633" s="31">
        <v>1.3</v>
      </c>
      <c r="J633" s="31">
        <v>1.0777000000000001</v>
      </c>
      <c r="K633" s="30">
        <f t="shared" si="97"/>
        <v>112985.18477506028</v>
      </c>
      <c r="L633" s="30">
        <f t="shared" si="129"/>
        <v>962786.96955012053</v>
      </c>
    </row>
    <row r="634" spans="1:12" ht="30" customHeight="1" x14ac:dyDescent="0.2">
      <c r="A634" s="27" t="s">
        <v>1355</v>
      </c>
      <c r="B634" s="27"/>
      <c r="C634" s="27" t="s">
        <v>1358</v>
      </c>
      <c r="D634" s="31">
        <f t="shared" si="130"/>
        <v>3.6829999999999998</v>
      </c>
      <c r="E634" s="30">
        <v>35506</v>
      </c>
      <c r="F634" s="31">
        <v>1.4379999999999999</v>
      </c>
      <c r="G634" s="31">
        <v>1.17</v>
      </c>
      <c r="H634" s="31">
        <v>1.35</v>
      </c>
      <c r="I634" s="31">
        <v>1.3</v>
      </c>
      <c r="J634" s="31">
        <v>1.0777000000000001</v>
      </c>
      <c r="K634" s="30">
        <f t="shared" si="97"/>
        <v>112985.18477506028</v>
      </c>
      <c r="L634" s="30">
        <f t="shared" si="129"/>
        <v>1075772.1543251807</v>
      </c>
    </row>
    <row r="635" spans="1:12" ht="30" customHeight="1" x14ac:dyDescent="0.2">
      <c r="A635" s="27" t="s">
        <v>1355</v>
      </c>
      <c r="B635" s="27"/>
      <c r="C635" s="27" t="s">
        <v>1359</v>
      </c>
      <c r="D635" s="31">
        <f>D634+0.633</f>
        <v>4.3159999999999998</v>
      </c>
      <c r="E635" s="30">
        <v>25525</v>
      </c>
      <c r="F635" s="31">
        <v>1.1499999999999999</v>
      </c>
      <c r="G635" s="31">
        <v>1.17</v>
      </c>
      <c r="H635" s="31">
        <v>1.35</v>
      </c>
      <c r="I635" s="31">
        <v>1.3</v>
      </c>
      <c r="J635" s="31">
        <v>1.0777000000000001</v>
      </c>
      <c r="K635" s="30">
        <f t="shared" si="97"/>
        <v>64956.775265606258</v>
      </c>
      <c r="L635" s="30">
        <f t="shared" si="129"/>
        <v>1140728.929590787</v>
      </c>
    </row>
    <row r="636" spans="1:12" ht="30" customHeight="1" x14ac:dyDescent="0.2">
      <c r="A636" s="27" t="s">
        <v>1355</v>
      </c>
      <c r="B636" s="27"/>
      <c r="C636" s="27" t="s">
        <v>1360</v>
      </c>
      <c r="D636" s="31">
        <f>D635+0.783</f>
        <v>5.0990000000000002</v>
      </c>
      <c r="E636" s="30">
        <v>115423</v>
      </c>
      <c r="F636" s="31"/>
      <c r="G636" s="31">
        <v>1.1000000000000001</v>
      </c>
      <c r="H636" s="31">
        <v>1.35</v>
      </c>
      <c r="I636" s="31">
        <v>1.3</v>
      </c>
      <c r="J636" s="31"/>
      <c r="K636" s="30">
        <f t="shared" si="97"/>
        <v>222824.10150000005</v>
      </c>
      <c r="L636" s="30">
        <f t="shared" si="129"/>
        <v>1363553.0310907871</v>
      </c>
    </row>
    <row r="637" spans="1:12" ht="30" customHeight="1" x14ac:dyDescent="0.2">
      <c r="A637" s="27" t="s">
        <v>1355</v>
      </c>
      <c r="B637" s="27"/>
      <c r="C637" s="27" t="s">
        <v>1361</v>
      </c>
      <c r="D637" s="31">
        <f>D636+2.167</f>
        <v>7.266</v>
      </c>
      <c r="E637" s="30">
        <v>35506</v>
      </c>
      <c r="F637" s="31">
        <v>1.4379999999999999</v>
      </c>
      <c r="G637" s="31">
        <v>1.17</v>
      </c>
      <c r="H637" s="31">
        <v>1.35</v>
      </c>
      <c r="I637" s="31">
        <v>1.3</v>
      </c>
      <c r="J637" s="31">
        <v>1.0777000000000001</v>
      </c>
      <c r="K637" s="30">
        <f t="shared" si="97"/>
        <v>112985.18477506028</v>
      </c>
      <c r="L637" s="30">
        <f t="shared" si="129"/>
        <v>1476538.2158658474</v>
      </c>
    </row>
    <row r="638" spans="1:12" ht="30" customHeight="1" x14ac:dyDescent="0.2">
      <c r="A638" s="27" t="s">
        <v>1355</v>
      </c>
      <c r="B638" s="27"/>
      <c r="C638" s="27" t="s">
        <v>1362</v>
      </c>
      <c r="D638" s="31">
        <f t="shared" ref="D638:D639" si="131">D637+0.5</f>
        <v>7.766</v>
      </c>
      <c r="E638" s="30">
        <v>35506</v>
      </c>
      <c r="F638" s="31">
        <v>1.4379999999999999</v>
      </c>
      <c r="G638" s="31">
        <v>1.17</v>
      </c>
      <c r="H638" s="31">
        <v>1.35</v>
      </c>
      <c r="I638" s="31">
        <v>1.3</v>
      </c>
      <c r="J638" s="31">
        <v>1.0777000000000001</v>
      </c>
      <c r="K638" s="30">
        <f t="shared" si="97"/>
        <v>112985.18477506028</v>
      </c>
      <c r="L638" s="30">
        <f t="shared" si="129"/>
        <v>1589523.4006409077</v>
      </c>
    </row>
    <row r="639" spans="1:12" ht="30" customHeight="1" x14ac:dyDescent="0.2">
      <c r="A639" s="27" t="s">
        <v>1355</v>
      </c>
      <c r="B639" s="27"/>
      <c r="C639" s="27" t="s">
        <v>1363</v>
      </c>
      <c r="D639" s="31">
        <f t="shared" si="131"/>
        <v>8.266</v>
      </c>
      <c r="E639" s="30">
        <v>35506</v>
      </c>
      <c r="F639" s="31">
        <v>1.4379999999999999</v>
      </c>
      <c r="G639" s="31">
        <v>1.17</v>
      </c>
      <c r="H639" s="31">
        <v>1.35</v>
      </c>
      <c r="I639" s="31">
        <v>1.3</v>
      </c>
      <c r="J639" s="31">
        <v>1.0777000000000001</v>
      </c>
      <c r="K639" s="30">
        <f t="shared" si="97"/>
        <v>112985.18477506028</v>
      </c>
      <c r="L639" s="30">
        <f t="shared" si="129"/>
        <v>1702508.585415968</v>
      </c>
    </row>
    <row r="640" spans="1:12" ht="30" customHeight="1" x14ac:dyDescent="0.2">
      <c r="A640" s="27" t="s">
        <v>1355</v>
      </c>
      <c r="B640" s="27"/>
      <c r="C640" s="27" t="s">
        <v>1364</v>
      </c>
      <c r="D640" s="31">
        <f>D639+0.633</f>
        <v>8.8990000000000009</v>
      </c>
      <c r="E640" s="30">
        <v>25525</v>
      </c>
      <c r="F640" s="31">
        <v>1.1499999999999999</v>
      </c>
      <c r="G640" s="31">
        <v>1.17</v>
      </c>
      <c r="H640" s="31">
        <v>1.35</v>
      </c>
      <c r="I640" s="31">
        <v>1.3</v>
      </c>
      <c r="J640" s="31">
        <v>1.0777000000000001</v>
      </c>
      <c r="K640" s="30">
        <f t="shared" si="97"/>
        <v>64956.775265606258</v>
      </c>
      <c r="L640" s="30">
        <f t="shared" si="129"/>
        <v>1767465.3606815743</v>
      </c>
    </row>
    <row r="641" spans="1:12" ht="30" customHeight="1" x14ac:dyDescent="0.2">
      <c r="A641" s="27" t="s">
        <v>1355</v>
      </c>
      <c r="B641" s="27"/>
      <c r="C641" s="27" t="s">
        <v>1365</v>
      </c>
      <c r="D641" s="31">
        <f>D640+0.783</f>
        <v>9.6820000000000004</v>
      </c>
      <c r="E641" s="30">
        <v>115423</v>
      </c>
      <c r="F641" s="31"/>
      <c r="G641" s="31">
        <v>1.1000000000000001</v>
      </c>
      <c r="H641" s="31">
        <v>1.35</v>
      </c>
      <c r="I641" s="31">
        <v>1.3</v>
      </c>
      <c r="J641" s="31"/>
      <c r="K641" s="30">
        <f t="shared" si="97"/>
        <v>222824.10150000005</v>
      </c>
      <c r="L641" s="30">
        <f t="shared" si="129"/>
        <v>1990289.4621815744</v>
      </c>
    </row>
    <row r="642" spans="1:12" ht="30" customHeight="1" x14ac:dyDescent="0.2">
      <c r="A642" s="27" t="s">
        <v>1355</v>
      </c>
      <c r="B642" s="27"/>
      <c r="C642" s="27" t="s">
        <v>1366</v>
      </c>
      <c r="D642" s="31">
        <f>D641+2.167</f>
        <v>11.849</v>
      </c>
      <c r="E642" s="30">
        <v>35506</v>
      </c>
      <c r="F642" s="31">
        <v>1.4379999999999999</v>
      </c>
      <c r="G642" s="31">
        <v>1.17</v>
      </c>
      <c r="H642" s="31">
        <v>1.35</v>
      </c>
      <c r="I642" s="31">
        <v>1.3</v>
      </c>
      <c r="J642" s="31">
        <v>1.0777000000000001</v>
      </c>
      <c r="K642" s="30">
        <f t="shared" si="97"/>
        <v>112985.18477506028</v>
      </c>
      <c r="L642" s="30">
        <f t="shared" si="129"/>
        <v>2103274.6469566347</v>
      </c>
    </row>
    <row r="643" spans="1:12" ht="30" customHeight="1" x14ac:dyDescent="0.2">
      <c r="A643" s="27" t="s">
        <v>1355</v>
      </c>
      <c r="B643" s="27"/>
      <c r="C643" s="27" t="s">
        <v>1367</v>
      </c>
      <c r="D643" s="31">
        <f t="shared" ref="D643:D644" si="132">D642+0.5</f>
        <v>12.349</v>
      </c>
      <c r="E643" s="30">
        <v>35506</v>
      </c>
      <c r="F643" s="31"/>
      <c r="G643" s="31">
        <v>1.17</v>
      </c>
      <c r="H643" s="31">
        <v>1.35</v>
      </c>
      <c r="I643" s="31">
        <v>1.3</v>
      </c>
      <c r="J643" s="31">
        <v>1.0777000000000001</v>
      </c>
      <c r="K643" s="30">
        <f t="shared" si="97"/>
        <v>78571.060344270008</v>
      </c>
      <c r="L643" s="30">
        <f t="shared" si="129"/>
        <v>2181845.7073009047</v>
      </c>
    </row>
    <row r="644" spans="1:12" ht="30" customHeight="1" x14ac:dyDescent="0.2">
      <c r="A644" s="27" t="s">
        <v>1355</v>
      </c>
      <c r="B644" s="27"/>
      <c r="C644" s="27" t="s">
        <v>1368</v>
      </c>
      <c r="D644" s="31">
        <f t="shared" si="132"/>
        <v>12.849</v>
      </c>
      <c r="E644" s="30">
        <v>35506</v>
      </c>
      <c r="F644" s="31"/>
      <c r="G644" s="31">
        <v>1.17</v>
      </c>
      <c r="H644" s="31">
        <v>1.35</v>
      </c>
      <c r="I644" s="31">
        <v>1.3</v>
      </c>
      <c r="J644" s="31">
        <v>1.0777000000000001</v>
      </c>
      <c r="K644" s="30">
        <f t="shared" si="97"/>
        <v>78571.060344270008</v>
      </c>
      <c r="L644" s="30">
        <f t="shared" si="129"/>
        <v>2260416.7676451746</v>
      </c>
    </row>
    <row r="645" spans="1:12" ht="30" customHeight="1" x14ac:dyDescent="0.2">
      <c r="A645" s="27" t="s">
        <v>1355</v>
      </c>
      <c r="B645" s="27"/>
      <c r="C645" s="27" t="s">
        <v>1369</v>
      </c>
      <c r="D645" s="31">
        <f>D644+0.633</f>
        <v>13.481999999999999</v>
      </c>
      <c r="E645" s="30">
        <v>25525</v>
      </c>
      <c r="F645" s="31">
        <v>1.1499999999999999</v>
      </c>
      <c r="G645" s="31">
        <v>1.17</v>
      </c>
      <c r="H645" s="31">
        <v>1.35</v>
      </c>
      <c r="I645" s="31">
        <v>1.3</v>
      </c>
      <c r="J645" s="31">
        <v>1.0777000000000001</v>
      </c>
      <c r="K645" s="30">
        <f t="shared" si="97"/>
        <v>64956.775265606258</v>
      </c>
      <c r="L645" s="30">
        <f t="shared" si="129"/>
        <v>2325373.5429107808</v>
      </c>
    </row>
    <row r="646" spans="1:12" ht="30" customHeight="1" x14ac:dyDescent="0.2">
      <c r="A646" s="27" t="s">
        <v>1355</v>
      </c>
      <c r="B646" s="27"/>
      <c r="C646" s="27" t="s">
        <v>1370</v>
      </c>
      <c r="D646" s="31">
        <f>D645+0.783</f>
        <v>14.264999999999999</v>
      </c>
      <c r="E646" s="30">
        <v>115423</v>
      </c>
      <c r="F646" s="31"/>
      <c r="G646" s="31">
        <v>1.1000000000000001</v>
      </c>
      <c r="H646" s="31">
        <v>1.35</v>
      </c>
      <c r="I646" s="31">
        <v>1.3</v>
      </c>
      <c r="J646" s="31"/>
      <c r="K646" s="30">
        <f t="shared" si="97"/>
        <v>222824.10150000005</v>
      </c>
      <c r="L646" s="30">
        <f t="shared" si="129"/>
        <v>2548197.6444107806</v>
      </c>
    </row>
    <row r="647" spans="1:12" ht="30" customHeight="1" x14ac:dyDescent="0.2">
      <c r="A647" s="27" t="s">
        <v>1355</v>
      </c>
      <c r="B647" s="27"/>
      <c r="C647" s="27" t="s">
        <v>1371</v>
      </c>
      <c r="D647" s="31">
        <f>D646+2.167</f>
        <v>16.431999999999999</v>
      </c>
      <c r="E647" s="30">
        <v>35506</v>
      </c>
      <c r="F647" s="31"/>
      <c r="G647" s="31">
        <v>1.17</v>
      </c>
      <c r="H647" s="31">
        <v>1.35</v>
      </c>
      <c r="I647" s="31">
        <v>1.3</v>
      </c>
      <c r="J647" s="31">
        <v>1.0777000000000001</v>
      </c>
      <c r="K647" s="30">
        <f t="shared" si="97"/>
        <v>78571.060344270008</v>
      </c>
      <c r="L647" s="30">
        <f t="shared" si="129"/>
        <v>2626768.7047550506</v>
      </c>
    </row>
    <row r="648" spans="1:12" ht="30" customHeight="1" x14ac:dyDescent="0.2">
      <c r="A648" s="27" t="s">
        <v>1355</v>
      </c>
      <c r="B648" s="27"/>
      <c r="C648" s="27" t="s">
        <v>1372</v>
      </c>
      <c r="D648" s="31">
        <f t="shared" ref="D648:D649" si="133">D647+0.5</f>
        <v>16.931999999999999</v>
      </c>
      <c r="E648" s="30">
        <v>35506</v>
      </c>
      <c r="F648" s="31"/>
      <c r="G648" s="31">
        <v>1.17</v>
      </c>
      <c r="H648" s="31">
        <v>1.35</v>
      </c>
      <c r="I648" s="31">
        <v>1.3</v>
      </c>
      <c r="J648" s="31">
        <v>1.0777000000000001</v>
      </c>
      <c r="K648" s="30">
        <f t="shared" si="97"/>
        <v>78571.060344270008</v>
      </c>
      <c r="L648" s="30">
        <f t="shared" si="129"/>
        <v>2705339.7650993206</v>
      </c>
    </row>
    <row r="649" spans="1:12" ht="30" customHeight="1" x14ac:dyDescent="0.2">
      <c r="A649" s="27" t="s">
        <v>1355</v>
      </c>
      <c r="B649" s="27"/>
      <c r="C649" s="27" t="s">
        <v>1373</v>
      </c>
      <c r="D649" s="31">
        <f t="shared" si="133"/>
        <v>17.431999999999999</v>
      </c>
      <c r="E649" s="30">
        <v>35506</v>
      </c>
      <c r="F649" s="31"/>
      <c r="G649" s="31">
        <v>1.17</v>
      </c>
      <c r="H649" s="31">
        <v>1.35</v>
      </c>
      <c r="I649" s="31">
        <v>1.3</v>
      </c>
      <c r="J649" s="31">
        <v>1.0777000000000001</v>
      </c>
      <c r="K649" s="30">
        <f t="shared" si="97"/>
        <v>78571.060344270008</v>
      </c>
      <c r="L649" s="30">
        <f t="shared" si="129"/>
        <v>2783910.8254435905</v>
      </c>
    </row>
    <row r="650" spans="1:12" ht="30" customHeight="1" x14ac:dyDescent="0.2">
      <c r="A650" s="27" t="s">
        <v>1355</v>
      </c>
      <c r="B650" s="27"/>
      <c r="C650" s="27" t="s">
        <v>1374</v>
      </c>
      <c r="D650" s="31">
        <f>D649+0.633</f>
        <v>18.064999999999998</v>
      </c>
      <c r="E650" s="30">
        <v>25525</v>
      </c>
      <c r="F650" s="31">
        <v>1.1499999999999999</v>
      </c>
      <c r="G650" s="31">
        <v>1.17</v>
      </c>
      <c r="H650" s="31">
        <v>1.35</v>
      </c>
      <c r="I650" s="31">
        <v>1.3</v>
      </c>
      <c r="J650" s="31">
        <v>1.0777000000000001</v>
      </c>
      <c r="K650" s="30">
        <f t="shared" si="97"/>
        <v>64956.775265606258</v>
      </c>
      <c r="L650" s="30">
        <f t="shared" si="129"/>
        <v>2848867.6007091966</v>
      </c>
    </row>
    <row r="651" spans="1:12" ht="30" customHeight="1" x14ac:dyDescent="0.2">
      <c r="A651" s="27" t="s">
        <v>1355</v>
      </c>
      <c r="B651" s="27"/>
      <c r="C651" s="27" t="s">
        <v>1375</v>
      </c>
      <c r="D651" s="31">
        <f>D650+0.783</f>
        <v>18.847999999999999</v>
      </c>
      <c r="E651" s="30">
        <v>115423</v>
      </c>
      <c r="F651" s="31"/>
      <c r="G651" s="31">
        <v>1.1000000000000001</v>
      </c>
      <c r="H651" s="31">
        <v>1.35</v>
      </c>
      <c r="I651" s="31">
        <v>1.3</v>
      </c>
      <c r="J651" s="31"/>
      <c r="K651" s="30">
        <f t="shared" si="97"/>
        <v>222824.10150000005</v>
      </c>
      <c r="L651" s="30">
        <f t="shared" si="129"/>
        <v>3071691.7022091965</v>
      </c>
    </row>
    <row r="652" spans="1:12" ht="30" customHeight="1" x14ac:dyDescent="0.2">
      <c r="A652" s="27" t="s">
        <v>1355</v>
      </c>
      <c r="B652" s="27"/>
      <c r="C652" s="27" t="s">
        <v>1376</v>
      </c>
      <c r="D652" s="31">
        <f>D651+2.167</f>
        <v>21.015000000000001</v>
      </c>
      <c r="E652" s="30">
        <v>35506</v>
      </c>
      <c r="F652" s="31"/>
      <c r="G652" s="31">
        <v>1.17</v>
      </c>
      <c r="H652" s="31">
        <v>1.35</v>
      </c>
      <c r="I652" s="31">
        <v>1.3</v>
      </c>
      <c r="J652" s="31">
        <v>1.0777000000000001</v>
      </c>
      <c r="K652" s="30">
        <f t="shared" si="97"/>
        <v>78571.060344270008</v>
      </c>
      <c r="L652" s="30">
        <f t="shared" si="129"/>
        <v>3150262.7625534665</v>
      </c>
    </row>
    <row r="653" spans="1:12" ht="30" customHeight="1" x14ac:dyDescent="0.2">
      <c r="A653" s="27" t="s">
        <v>1355</v>
      </c>
      <c r="B653" s="27"/>
      <c r="C653" s="27" t="s">
        <v>1377</v>
      </c>
      <c r="D653" s="31">
        <f t="shared" ref="D653:D654" si="134">D652+0.5</f>
        <v>21.515000000000001</v>
      </c>
      <c r="E653" s="30">
        <v>35506</v>
      </c>
      <c r="F653" s="31"/>
      <c r="G653" s="31">
        <v>1.17</v>
      </c>
      <c r="H653" s="31">
        <v>1.35</v>
      </c>
      <c r="I653" s="31">
        <v>1.3</v>
      </c>
      <c r="J653" s="31">
        <v>1.0777000000000001</v>
      </c>
      <c r="K653" s="30">
        <f t="shared" si="97"/>
        <v>78571.060344270008</v>
      </c>
      <c r="L653" s="30">
        <f t="shared" si="129"/>
        <v>3228833.8228977364</v>
      </c>
    </row>
    <row r="654" spans="1:12" ht="30" customHeight="1" x14ac:dyDescent="0.2">
      <c r="A654" s="27" t="s">
        <v>1355</v>
      </c>
      <c r="B654" s="27"/>
      <c r="C654" s="27" t="s">
        <v>1378</v>
      </c>
      <c r="D654" s="31">
        <f t="shared" si="134"/>
        <v>22.015000000000001</v>
      </c>
      <c r="E654" s="30">
        <v>35506</v>
      </c>
      <c r="F654" s="31"/>
      <c r="G654" s="31">
        <v>1.17</v>
      </c>
      <c r="H654" s="31">
        <v>1.35</v>
      </c>
      <c r="I654" s="31">
        <v>1.3</v>
      </c>
      <c r="J654" s="31">
        <v>1.0777000000000001</v>
      </c>
      <c r="K654" s="30">
        <f t="shared" si="97"/>
        <v>78571.060344270008</v>
      </c>
      <c r="L654" s="30">
        <f t="shared" si="129"/>
        <v>3307404.8832420064</v>
      </c>
    </row>
    <row r="655" spans="1:12" ht="30" customHeight="1" x14ac:dyDescent="0.2">
      <c r="A655" s="27" t="s">
        <v>1355</v>
      </c>
      <c r="B655" s="27"/>
      <c r="C655" s="27" t="s">
        <v>1379</v>
      </c>
      <c r="D655" s="31">
        <f>D654+0.633</f>
        <v>22.648</v>
      </c>
      <c r="E655" s="30">
        <v>25525</v>
      </c>
      <c r="F655" s="31">
        <v>1.1499999999999999</v>
      </c>
      <c r="G655" s="31">
        <v>1.17</v>
      </c>
      <c r="H655" s="31">
        <v>1.35</v>
      </c>
      <c r="I655" s="31">
        <v>1.3</v>
      </c>
      <c r="J655" s="31">
        <v>1.0777000000000001</v>
      </c>
      <c r="K655" s="30">
        <f t="shared" si="97"/>
        <v>64956.775265606258</v>
      </c>
      <c r="L655" s="30">
        <f t="shared" si="129"/>
        <v>3372361.6585076125</v>
      </c>
    </row>
    <row r="656" spans="1:12" ht="30" customHeight="1" x14ac:dyDescent="0.2">
      <c r="A656" s="27" t="s">
        <v>1355</v>
      </c>
      <c r="B656" s="27"/>
      <c r="C656" s="27" t="s">
        <v>1380</v>
      </c>
      <c r="D656" s="31">
        <f>D655+0.783</f>
        <v>23.431000000000001</v>
      </c>
      <c r="E656" s="30">
        <v>115423</v>
      </c>
      <c r="F656" s="31"/>
      <c r="G656" s="31">
        <v>1.1000000000000001</v>
      </c>
      <c r="H656" s="31">
        <v>1.35</v>
      </c>
      <c r="I656" s="31">
        <v>1.3</v>
      </c>
      <c r="J656" s="31"/>
      <c r="K656" s="30">
        <f t="shared" si="97"/>
        <v>222824.10150000005</v>
      </c>
      <c r="L656" s="30">
        <f t="shared" si="129"/>
        <v>3595185.7600076124</v>
      </c>
    </row>
    <row r="657" spans="1:12" ht="30" customHeight="1" x14ac:dyDescent="0.2">
      <c r="A657" s="27" t="s">
        <v>1355</v>
      </c>
      <c r="B657" s="27"/>
      <c r="C657" s="27" t="s">
        <v>1381</v>
      </c>
      <c r="D657" s="31">
        <f>D656+2.167</f>
        <v>25.597999999999999</v>
      </c>
      <c r="E657" s="30">
        <v>35506</v>
      </c>
      <c r="F657" s="31"/>
      <c r="G657" s="31">
        <v>1.17</v>
      </c>
      <c r="H657" s="31">
        <v>1.35</v>
      </c>
      <c r="I657" s="31">
        <v>1.3</v>
      </c>
      <c r="J657" s="31">
        <v>1.0777000000000001</v>
      </c>
      <c r="K657" s="30">
        <f t="shared" si="97"/>
        <v>78571.060344270008</v>
      </c>
      <c r="L657" s="30">
        <f t="shared" si="129"/>
        <v>3673756.8203518824</v>
      </c>
    </row>
    <row r="658" spans="1:12" ht="30" customHeight="1" x14ac:dyDescent="0.2">
      <c r="A658" s="27" t="s">
        <v>1355</v>
      </c>
      <c r="B658" s="27"/>
      <c r="C658" s="27" t="s">
        <v>1382</v>
      </c>
      <c r="D658" s="31">
        <f t="shared" ref="D658:D659" si="135">D657+0.5</f>
        <v>26.097999999999999</v>
      </c>
      <c r="E658" s="30">
        <v>35506</v>
      </c>
      <c r="F658" s="31"/>
      <c r="G658" s="31">
        <v>1.17</v>
      </c>
      <c r="H658" s="31">
        <v>1.35</v>
      </c>
      <c r="I658" s="31">
        <v>1.3</v>
      </c>
      <c r="J658" s="31">
        <v>1.0777000000000001</v>
      </c>
      <c r="K658" s="30">
        <f t="shared" si="97"/>
        <v>78571.060344270008</v>
      </c>
      <c r="L658" s="30">
        <f t="shared" si="129"/>
        <v>3752327.8806961523</v>
      </c>
    </row>
    <row r="659" spans="1:12" ht="30" customHeight="1" x14ac:dyDescent="0.2">
      <c r="A659" s="27" t="s">
        <v>1355</v>
      </c>
      <c r="B659" s="27"/>
      <c r="C659" s="27" t="s">
        <v>1383</v>
      </c>
      <c r="D659" s="31">
        <f t="shared" si="135"/>
        <v>26.597999999999999</v>
      </c>
      <c r="E659" s="30">
        <v>35506</v>
      </c>
      <c r="F659" s="31"/>
      <c r="G659" s="31">
        <v>1.17</v>
      </c>
      <c r="H659" s="31">
        <v>1.35</v>
      </c>
      <c r="I659" s="31">
        <v>1.3</v>
      </c>
      <c r="J659" s="31">
        <v>1.0777000000000001</v>
      </c>
      <c r="K659" s="30">
        <f t="shared" si="97"/>
        <v>78571.060344270008</v>
      </c>
      <c r="L659" s="30">
        <f t="shared" si="129"/>
        <v>3830898.9410404223</v>
      </c>
    </row>
    <row r="660" spans="1:12" ht="30" customHeight="1" x14ac:dyDescent="0.2">
      <c r="A660" s="27" t="s">
        <v>1355</v>
      </c>
      <c r="B660" s="27"/>
      <c r="C660" s="27" t="s">
        <v>1384</v>
      </c>
      <c r="D660" s="31">
        <f>D659+0.633</f>
        <v>27.230999999999998</v>
      </c>
      <c r="E660" s="30">
        <v>25525</v>
      </c>
      <c r="F660" s="31">
        <v>1.1499999999999999</v>
      </c>
      <c r="G660" s="31">
        <v>1.17</v>
      </c>
      <c r="H660" s="31">
        <v>1.35</v>
      </c>
      <c r="I660" s="31">
        <v>1.3</v>
      </c>
      <c r="J660" s="31">
        <v>1.0777000000000001</v>
      </c>
      <c r="K660" s="30">
        <f t="shared" si="97"/>
        <v>64956.775265606258</v>
      </c>
      <c r="L660" s="30">
        <f t="shared" si="129"/>
        <v>3895855.7163060284</v>
      </c>
    </row>
    <row r="661" spans="1:12" ht="30" customHeight="1" x14ac:dyDescent="0.2">
      <c r="A661" s="27" t="s">
        <v>1355</v>
      </c>
      <c r="B661" s="27"/>
      <c r="C661" s="27" t="s">
        <v>1385</v>
      </c>
      <c r="D661" s="31">
        <f>D660+0.783</f>
        <v>28.013999999999999</v>
      </c>
      <c r="E661" s="30">
        <v>115423</v>
      </c>
      <c r="F661" s="31"/>
      <c r="G661" s="31">
        <v>1.1000000000000001</v>
      </c>
      <c r="H661" s="31">
        <v>1.35</v>
      </c>
      <c r="I661" s="31">
        <v>1.3</v>
      </c>
      <c r="J661" s="31"/>
      <c r="K661" s="30">
        <f t="shared" si="97"/>
        <v>222824.10150000005</v>
      </c>
      <c r="L661" s="30">
        <f t="shared" si="129"/>
        <v>4118679.8178060283</v>
      </c>
    </row>
    <row r="662" spans="1:12" ht="30" customHeight="1" x14ac:dyDescent="0.2">
      <c r="A662" s="27" t="s">
        <v>1355</v>
      </c>
      <c r="B662" s="27"/>
      <c r="C662" s="27" t="s">
        <v>1386</v>
      </c>
      <c r="D662" s="31">
        <f>D661+2.167</f>
        <v>30.180999999999997</v>
      </c>
      <c r="E662" s="30">
        <v>33003</v>
      </c>
      <c r="F662" s="31"/>
      <c r="G662" s="31">
        <v>1.17</v>
      </c>
      <c r="H662" s="31">
        <v>1.35</v>
      </c>
      <c r="I662" s="31">
        <v>1.3</v>
      </c>
      <c r="J662" s="31">
        <v>1.0777000000000001</v>
      </c>
      <c r="K662" s="30">
        <f t="shared" si="97"/>
        <v>73032.18342088502</v>
      </c>
      <c r="L662" s="65">
        <f t="shared" si="129"/>
        <v>4191712.0012269132</v>
      </c>
    </row>
    <row r="663" spans="1:12" ht="30" customHeight="1" x14ac:dyDescent="0.2">
      <c r="A663" s="27" t="s">
        <v>1387</v>
      </c>
      <c r="B663" s="27"/>
      <c r="C663" s="27" t="s">
        <v>1360</v>
      </c>
      <c r="D663" s="31">
        <v>0</v>
      </c>
      <c r="E663" s="30">
        <v>115423</v>
      </c>
      <c r="F663" s="31"/>
      <c r="G663" s="31"/>
      <c r="H663" s="31">
        <v>1.35</v>
      </c>
      <c r="I663" s="31">
        <v>1.3</v>
      </c>
      <c r="J663" s="31"/>
      <c r="K663" s="30">
        <f t="shared" si="97"/>
        <v>202567.36500000002</v>
      </c>
      <c r="L663" s="30">
        <f>K663</f>
        <v>202567.36500000002</v>
      </c>
    </row>
    <row r="664" spans="1:12" ht="30" customHeight="1" x14ac:dyDescent="0.2">
      <c r="A664" s="27" t="s">
        <v>1387</v>
      </c>
      <c r="B664" s="27"/>
      <c r="C664" s="27" t="s">
        <v>1160</v>
      </c>
      <c r="D664" s="31">
        <v>1.8660000000000001</v>
      </c>
      <c r="E664" s="30">
        <v>25917</v>
      </c>
      <c r="F664" s="31">
        <v>1.1499999999999999</v>
      </c>
      <c r="G664" s="31">
        <v>1.22</v>
      </c>
      <c r="H664" s="31">
        <v>1.35</v>
      </c>
      <c r="I664" s="31">
        <v>1.3</v>
      </c>
      <c r="J664" s="31">
        <v>1.0777000000000001</v>
      </c>
      <c r="K664" s="30">
        <f t="shared" si="97"/>
        <v>68772.91036478852</v>
      </c>
      <c r="L664" s="30">
        <f t="shared" ref="L664:L666" si="136">K664+L663</f>
        <v>271340.27536478854</v>
      </c>
    </row>
    <row r="665" spans="1:12" ht="30" customHeight="1" x14ac:dyDescent="0.2">
      <c r="A665" s="27" t="s">
        <v>1387</v>
      </c>
      <c r="B665" s="27"/>
      <c r="C665" s="27" t="s">
        <v>955</v>
      </c>
      <c r="D665" s="31">
        <f>D664+0.916</f>
        <v>2.782</v>
      </c>
      <c r="E665" s="30">
        <v>95924</v>
      </c>
      <c r="F665" s="31">
        <v>1.2889999999999999</v>
      </c>
      <c r="G665" s="31">
        <v>1.22</v>
      </c>
      <c r="H665" s="31">
        <v>1.35</v>
      </c>
      <c r="I665" s="31">
        <v>1.3</v>
      </c>
      <c r="J665" s="31">
        <v>1.0777000000000001</v>
      </c>
      <c r="K665" s="30">
        <f t="shared" si="97"/>
        <v>285308.71128030494</v>
      </c>
      <c r="L665" s="30">
        <f t="shared" si="136"/>
        <v>556648.98664509342</v>
      </c>
    </row>
    <row r="666" spans="1:12" ht="30" customHeight="1" x14ac:dyDescent="0.2">
      <c r="A666" s="27" t="s">
        <v>1387</v>
      </c>
      <c r="B666" s="27"/>
      <c r="C666" s="27" t="s">
        <v>956</v>
      </c>
      <c r="D666" s="31">
        <f>D665+1.18317</f>
        <v>3.9651700000000001</v>
      </c>
      <c r="E666" s="30">
        <v>95924</v>
      </c>
      <c r="F666" s="31">
        <v>1.2889999999999999</v>
      </c>
      <c r="G666" s="31">
        <v>1.22</v>
      </c>
      <c r="H666" s="31">
        <v>1.35</v>
      </c>
      <c r="I666" s="31">
        <v>1.3</v>
      </c>
      <c r="J666" s="31">
        <v>1.0777000000000001</v>
      </c>
      <c r="K666" s="30">
        <f t="shared" si="97"/>
        <v>285308.71128030494</v>
      </c>
      <c r="L666" s="30">
        <f t="shared" si="136"/>
        <v>841957.69792539836</v>
      </c>
    </row>
    <row r="667" spans="1:12" ht="30" customHeight="1" x14ac:dyDescent="0.2">
      <c r="A667" s="27" t="s">
        <v>1387</v>
      </c>
      <c r="B667" s="27"/>
      <c r="C667" s="27" t="s">
        <v>1161</v>
      </c>
      <c r="D667" s="31">
        <f>D666+1.783-0.3</f>
        <v>5.4481700000000002</v>
      </c>
      <c r="E667" s="30">
        <v>30661</v>
      </c>
      <c r="F667" s="31"/>
      <c r="G667" s="31"/>
      <c r="H667" s="31"/>
      <c r="I667" s="31">
        <v>1.3</v>
      </c>
      <c r="J667" s="31"/>
      <c r="K667" s="30">
        <f t="shared" si="97"/>
        <v>39859.300000000003</v>
      </c>
      <c r="L667" s="30">
        <f>L668+K667</f>
        <v>1167125.7092057033</v>
      </c>
    </row>
    <row r="668" spans="1:12" ht="30" customHeight="1" x14ac:dyDescent="0.2">
      <c r="A668" s="27" t="s">
        <v>1387</v>
      </c>
      <c r="B668" s="27"/>
      <c r="C668" s="27" t="s">
        <v>957</v>
      </c>
      <c r="D668" s="31">
        <f>D666+1.35</f>
        <v>5.3151700000000002</v>
      </c>
      <c r="E668" s="30">
        <v>95924</v>
      </c>
      <c r="F668" s="31">
        <v>1.2889999999999999</v>
      </c>
      <c r="G668" s="31">
        <v>1.22</v>
      </c>
      <c r="H668" s="31">
        <v>1.35</v>
      </c>
      <c r="I668" s="31">
        <v>1.3</v>
      </c>
      <c r="J668" s="31">
        <v>1.0777000000000001</v>
      </c>
      <c r="K668" s="30">
        <f t="shared" si="97"/>
        <v>285308.71128030494</v>
      </c>
      <c r="L668" s="30">
        <f t="shared" ref="L668:L669" si="137">L666+K668</f>
        <v>1127266.4092057033</v>
      </c>
    </row>
    <row r="669" spans="1:12" ht="30" customHeight="1" x14ac:dyDescent="0.2">
      <c r="A669" s="27" t="s">
        <v>1387</v>
      </c>
      <c r="B669" s="27"/>
      <c r="C669" s="27" t="s">
        <v>958</v>
      </c>
      <c r="D669" s="31">
        <f>D668+1.18317</f>
        <v>6.4983400000000007</v>
      </c>
      <c r="E669" s="30">
        <v>95924</v>
      </c>
      <c r="F669" s="31">
        <v>1.2889999999999999</v>
      </c>
      <c r="G669" s="31">
        <v>1.22</v>
      </c>
      <c r="H669" s="31">
        <v>1.35</v>
      </c>
      <c r="I669" s="31">
        <v>1.3</v>
      </c>
      <c r="J669" s="31">
        <v>1.0777000000000001</v>
      </c>
      <c r="K669" s="30">
        <f t="shared" si="97"/>
        <v>285308.71128030494</v>
      </c>
      <c r="L669" s="30">
        <f t="shared" si="137"/>
        <v>1452434.4204860083</v>
      </c>
    </row>
    <row r="670" spans="1:12" ht="30" customHeight="1" x14ac:dyDescent="0.2">
      <c r="A670" s="27" t="s">
        <v>1387</v>
      </c>
      <c r="B670" s="27"/>
      <c r="C670" s="27" t="s">
        <v>560</v>
      </c>
      <c r="D670" s="31">
        <f>D669-0.267+2.6</f>
        <v>8.8313400000000009</v>
      </c>
      <c r="E670" s="27">
        <v>404731</v>
      </c>
      <c r="F670" s="31"/>
      <c r="G670" s="31"/>
      <c r="H670" s="31"/>
      <c r="I670" s="31">
        <v>1.3</v>
      </c>
      <c r="J670" s="31"/>
      <c r="K670" s="30">
        <f t="shared" si="97"/>
        <v>526150.30000000005</v>
      </c>
      <c r="L670" s="30">
        <f t="shared" ref="L670:L671" si="138">K670+L669</f>
        <v>1978584.7204860083</v>
      </c>
    </row>
    <row r="671" spans="1:12" ht="30" customHeight="1" x14ac:dyDescent="0.2">
      <c r="A671" s="27" t="s">
        <v>1387</v>
      </c>
      <c r="B671" s="27"/>
      <c r="C671" s="27" t="s">
        <v>959</v>
      </c>
      <c r="D671" s="31">
        <f>D669+2.733</f>
        <v>9.2313400000000012</v>
      </c>
      <c r="E671" s="30">
        <v>95924</v>
      </c>
      <c r="F671" s="31">
        <v>1.2889999999999999</v>
      </c>
      <c r="G671" s="31">
        <v>1.22</v>
      </c>
      <c r="H671" s="31">
        <v>1.35</v>
      </c>
      <c r="I671" s="31">
        <v>1.3</v>
      </c>
      <c r="J671" s="31">
        <v>1.0777000000000001</v>
      </c>
      <c r="K671" s="30">
        <f t="shared" si="97"/>
        <v>285308.71128030494</v>
      </c>
      <c r="L671" s="30">
        <f t="shared" si="138"/>
        <v>2263893.4317663135</v>
      </c>
    </row>
    <row r="672" spans="1:12" ht="30" customHeight="1" x14ac:dyDescent="0.2">
      <c r="A672" s="27" t="s">
        <v>1387</v>
      </c>
      <c r="B672" s="27"/>
      <c r="C672" s="27" t="s">
        <v>1168</v>
      </c>
      <c r="D672" s="31">
        <f>D671+1.783-0.3</f>
        <v>10.71434</v>
      </c>
      <c r="E672" s="30">
        <v>30661</v>
      </c>
      <c r="F672" s="31"/>
      <c r="G672" s="31"/>
      <c r="H672" s="31"/>
      <c r="I672" s="31">
        <v>1.3</v>
      </c>
      <c r="J672" s="31"/>
      <c r="K672" s="30">
        <f t="shared" si="97"/>
        <v>39859.300000000003</v>
      </c>
      <c r="L672" s="30">
        <f>L673+K672</f>
        <v>2589061.4430466183</v>
      </c>
    </row>
    <row r="673" spans="1:12" ht="30" customHeight="1" x14ac:dyDescent="0.2">
      <c r="A673" s="27" t="s">
        <v>1387</v>
      </c>
      <c r="B673" s="27"/>
      <c r="C673" s="27" t="s">
        <v>960</v>
      </c>
      <c r="D673" s="31">
        <f>D671+1.35</f>
        <v>10.581340000000001</v>
      </c>
      <c r="E673" s="30">
        <v>95924</v>
      </c>
      <c r="F673" s="31">
        <v>1.2889999999999999</v>
      </c>
      <c r="G673" s="31">
        <v>1.22</v>
      </c>
      <c r="H673" s="31">
        <v>1.35</v>
      </c>
      <c r="I673" s="31">
        <v>1.3</v>
      </c>
      <c r="J673" s="31">
        <v>1.0777000000000001</v>
      </c>
      <c r="K673" s="30">
        <f t="shared" si="97"/>
        <v>285308.71128030494</v>
      </c>
      <c r="L673" s="30">
        <f t="shared" ref="L673:L674" si="139">L671+K673</f>
        <v>2549202.1430466184</v>
      </c>
    </row>
    <row r="674" spans="1:12" ht="30" customHeight="1" x14ac:dyDescent="0.2">
      <c r="A674" s="27" t="s">
        <v>1387</v>
      </c>
      <c r="B674" s="27"/>
      <c r="C674" s="27" t="s">
        <v>961</v>
      </c>
      <c r="D674" s="31">
        <f>D673+1.716</f>
        <v>12.29734</v>
      </c>
      <c r="E674" s="30">
        <v>95924</v>
      </c>
      <c r="F674" s="31">
        <v>1.2889999999999999</v>
      </c>
      <c r="G674" s="31">
        <v>1.22</v>
      </c>
      <c r="H674" s="31">
        <v>1.35</v>
      </c>
      <c r="I674" s="31">
        <v>1.3</v>
      </c>
      <c r="J674" s="31">
        <v>1.0777000000000001</v>
      </c>
      <c r="K674" s="30">
        <f t="shared" si="97"/>
        <v>285308.71128030494</v>
      </c>
      <c r="L674" s="30">
        <f t="shared" si="139"/>
        <v>2874370.1543269232</v>
      </c>
    </row>
    <row r="675" spans="1:12" ht="30" customHeight="1" x14ac:dyDescent="0.2">
      <c r="A675" s="27" t="s">
        <v>1387</v>
      </c>
      <c r="B675" s="27"/>
      <c r="C675" s="27" t="s">
        <v>1365</v>
      </c>
      <c r="D675" s="31">
        <f>D674+0.8</f>
        <v>13.097340000000001</v>
      </c>
      <c r="E675" s="30">
        <v>115423</v>
      </c>
      <c r="F675" s="31"/>
      <c r="G675" s="31"/>
      <c r="H675" s="31">
        <v>1.35</v>
      </c>
      <c r="I675" s="31">
        <v>1.3</v>
      </c>
      <c r="J675" s="31"/>
      <c r="K675" s="30">
        <f t="shared" si="97"/>
        <v>202567.36500000002</v>
      </c>
      <c r="L675" s="30">
        <f t="shared" ref="L675:L679" si="140">K675+L674</f>
        <v>3076937.5193269234</v>
      </c>
    </row>
    <row r="676" spans="1:12" ht="30" customHeight="1" x14ac:dyDescent="0.2">
      <c r="A676" s="27" t="s">
        <v>1387</v>
      </c>
      <c r="B676" s="27"/>
      <c r="C676" s="27" t="s">
        <v>1166</v>
      </c>
      <c r="D676" s="31">
        <f>D675+1.866</f>
        <v>14.963340000000001</v>
      </c>
      <c r="E676" s="30">
        <v>25917</v>
      </c>
      <c r="F676" s="31">
        <v>1.1499999999999999</v>
      </c>
      <c r="G676" s="31">
        <v>1.22</v>
      </c>
      <c r="H676" s="31">
        <v>1.35</v>
      </c>
      <c r="I676" s="31">
        <v>1.3</v>
      </c>
      <c r="J676" s="31">
        <v>1.0777000000000001</v>
      </c>
      <c r="K676" s="30">
        <f t="shared" si="97"/>
        <v>68772.91036478852</v>
      </c>
      <c r="L676" s="30">
        <f t="shared" si="140"/>
        <v>3145710.4296917119</v>
      </c>
    </row>
    <row r="677" spans="1:12" ht="30" customHeight="1" x14ac:dyDescent="0.2">
      <c r="A677" s="27" t="s">
        <v>1387</v>
      </c>
      <c r="B677" s="27"/>
      <c r="C677" s="27" t="s">
        <v>962</v>
      </c>
      <c r="D677" s="31">
        <f>D675+3.183</f>
        <v>16.280340000000002</v>
      </c>
      <c r="E677" s="30">
        <v>95924</v>
      </c>
      <c r="F677" s="31">
        <v>1.2889999999999999</v>
      </c>
      <c r="G677" s="31">
        <v>1.22</v>
      </c>
      <c r="H677" s="31">
        <v>1.35</v>
      </c>
      <c r="I677" s="31">
        <v>1.3</v>
      </c>
      <c r="J677" s="31">
        <v>1.0777000000000001</v>
      </c>
      <c r="K677" s="30">
        <f t="shared" si="97"/>
        <v>285308.71128030494</v>
      </c>
      <c r="L677" s="30">
        <f t="shared" si="140"/>
        <v>3431019.1409720168</v>
      </c>
    </row>
    <row r="678" spans="1:12" ht="30" customHeight="1" x14ac:dyDescent="0.2">
      <c r="A678" s="27" t="s">
        <v>1387</v>
      </c>
      <c r="B678" s="27"/>
      <c r="C678" s="27" t="s">
        <v>1370</v>
      </c>
      <c r="D678" s="31">
        <f>D675+3.85</f>
        <v>16.947340000000001</v>
      </c>
      <c r="E678" s="30">
        <v>115423</v>
      </c>
      <c r="F678" s="31"/>
      <c r="G678" s="31"/>
      <c r="H678" s="31">
        <v>1.35</v>
      </c>
      <c r="I678" s="31">
        <v>1.3</v>
      </c>
      <c r="J678" s="31"/>
      <c r="K678" s="30">
        <f t="shared" si="97"/>
        <v>202567.36500000002</v>
      </c>
      <c r="L678" s="30">
        <f t="shared" si="140"/>
        <v>3633586.5059720171</v>
      </c>
    </row>
    <row r="679" spans="1:12" ht="30" customHeight="1" x14ac:dyDescent="0.2">
      <c r="A679" s="27" t="s">
        <v>1387</v>
      </c>
      <c r="B679" s="27"/>
      <c r="C679" s="27" t="s">
        <v>963</v>
      </c>
      <c r="D679" s="31">
        <f>D674+5.366</f>
        <v>17.663339999999998</v>
      </c>
      <c r="E679" s="30">
        <v>95924</v>
      </c>
      <c r="F679" s="31">
        <v>1.2889999999999999</v>
      </c>
      <c r="G679" s="31">
        <v>1.22</v>
      </c>
      <c r="H679" s="31">
        <v>1.35</v>
      </c>
      <c r="I679" s="31">
        <v>1.3</v>
      </c>
      <c r="J679" s="31">
        <v>1.0777000000000001</v>
      </c>
      <c r="K679" s="30">
        <f t="shared" si="97"/>
        <v>285308.71128030494</v>
      </c>
      <c r="L679" s="65">
        <f t="shared" si="140"/>
        <v>3918895.217252322</v>
      </c>
    </row>
    <row r="680" spans="1:12" ht="30" customHeight="1" x14ac:dyDescent="0.2">
      <c r="A680" s="27" t="s">
        <v>1388</v>
      </c>
      <c r="B680" s="27"/>
      <c r="C680" s="27" t="s">
        <v>1360</v>
      </c>
      <c r="D680" s="31">
        <v>0</v>
      </c>
      <c r="E680" s="30">
        <v>115423</v>
      </c>
      <c r="F680" s="31"/>
      <c r="G680" s="31"/>
      <c r="H680" s="31">
        <v>1.35</v>
      </c>
      <c r="I680" s="31">
        <v>1.3</v>
      </c>
      <c r="J680" s="31"/>
      <c r="K680" s="30">
        <f t="shared" si="97"/>
        <v>202567.36500000002</v>
      </c>
      <c r="L680" s="30">
        <f>K680</f>
        <v>202567.36500000002</v>
      </c>
    </row>
    <row r="681" spans="1:12" ht="30" customHeight="1" x14ac:dyDescent="0.2">
      <c r="A681" s="27" t="s">
        <v>1388</v>
      </c>
      <c r="B681" s="27"/>
      <c r="C681" s="27" t="s">
        <v>1160</v>
      </c>
      <c r="D681" s="31">
        <f>D680+1.866</f>
        <v>1.8660000000000001</v>
      </c>
      <c r="E681" s="30">
        <v>25917</v>
      </c>
      <c r="F681" s="31">
        <v>1.1499999999999999</v>
      </c>
      <c r="G681" s="31">
        <v>1.22</v>
      </c>
      <c r="H681" s="31">
        <v>1.35</v>
      </c>
      <c r="I681" s="31">
        <v>1.3</v>
      </c>
      <c r="J681" s="31">
        <v>1.0777000000000001</v>
      </c>
      <c r="K681" s="30">
        <f t="shared" si="97"/>
        <v>68772.91036478852</v>
      </c>
      <c r="L681" s="30">
        <f t="shared" ref="L681:L683" si="141">K681+L680</f>
        <v>271340.27536478854</v>
      </c>
    </row>
    <row r="682" spans="1:12" ht="30" customHeight="1" x14ac:dyDescent="0.2">
      <c r="A682" s="27" t="s">
        <v>1388</v>
      </c>
      <c r="B682" s="27"/>
      <c r="C682" s="27" t="s">
        <v>955</v>
      </c>
      <c r="D682" s="31">
        <f>D681+0.967</f>
        <v>2.8330000000000002</v>
      </c>
      <c r="E682" s="30">
        <v>95924</v>
      </c>
      <c r="F682" s="31">
        <v>1.2889999999999999</v>
      </c>
      <c r="G682" s="31">
        <v>1.22</v>
      </c>
      <c r="H682" s="31">
        <v>1.35</v>
      </c>
      <c r="I682" s="31">
        <v>1.3</v>
      </c>
      <c r="J682" s="31">
        <v>1.0777000000000001</v>
      </c>
      <c r="K682" s="30">
        <f t="shared" si="97"/>
        <v>285308.71128030494</v>
      </c>
      <c r="L682" s="30">
        <f t="shared" si="141"/>
        <v>556648.98664509342</v>
      </c>
    </row>
    <row r="683" spans="1:12" ht="30" customHeight="1" x14ac:dyDescent="0.2">
      <c r="A683" s="27" t="s">
        <v>1388</v>
      </c>
      <c r="B683" s="27"/>
      <c r="C683" s="27" t="s">
        <v>956</v>
      </c>
      <c r="D683" s="31">
        <f>D682+1.183</f>
        <v>4.016</v>
      </c>
      <c r="E683" s="30">
        <v>95924</v>
      </c>
      <c r="F683" s="31">
        <v>1.2889999999999999</v>
      </c>
      <c r="G683" s="31">
        <v>1.22</v>
      </c>
      <c r="H683" s="31">
        <v>1.35</v>
      </c>
      <c r="I683" s="31">
        <v>1.3</v>
      </c>
      <c r="J683" s="31">
        <v>1.0777000000000001</v>
      </c>
      <c r="K683" s="30">
        <f t="shared" si="97"/>
        <v>285308.71128030494</v>
      </c>
      <c r="L683" s="30">
        <f t="shared" si="141"/>
        <v>841957.69792539836</v>
      </c>
    </row>
    <row r="684" spans="1:12" ht="30" customHeight="1" x14ac:dyDescent="0.2">
      <c r="A684" s="27" t="s">
        <v>1388</v>
      </c>
      <c r="B684" s="27"/>
      <c r="C684" s="27" t="s">
        <v>1161</v>
      </c>
      <c r="D684" s="31">
        <f>D683+1.783-0.3</f>
        <v>5.4989999999999997</v>
      </c>
      <c r="E684" s="30">
        <v>30661</v>
      </c>
      <c r="F684" s="31"/>
      <c r="G684" s="31"/>
      <c r="H684" s="31"/>
      <c r="I684" s="31">
        <v>1.3</v>
      </c>
      <c r="J684" s="31"/>
      <c r="K684" s="30">
        <f t="shared" si="97"/>
        <v>39859.300000000003</v>
      </c>
      <c r="L684" s="30">
        <f>L685+K684</f>
        <v>1167125.7092057033</v>
      </c>
    </row>
    <row r="685" spans="1:12" ht="30" customHeight="1" x14ac:dyDescent="0.2">
      <c r="A685" s="27" t="s">
        <v>1388</v>
      </c>
      <c r="B685" s="27"/>
      <c r="C685" s="27" t="s">
        <v>957</v>
      </c>
      <c r="D685" s="31">
        <f>D683+1.466</f>
        <v>5.4820000000000002</v>
      </c>
      <c r="E685" s="30">
        <v>95924</v>
      </c>
      <c r="F685" s="31">
        <v>1.2889999999999999</v>
      </c>
      <c r="G685" s="31">
        <v>1.22</v>
      </c>
      <c r="H685" s="31">
        <v>1.35</v>
      </c>
      <c r="I685" s="31">
        <v>1.3</v>
      </c>
      <c r="J685" s="31">
        <v>1.0777000000000001</v>
      </c>
      <c r="K685" s="30">
        <f t="shared" si="97"/>
        <v>285308.71128030494</v>
      </c>
      <c r="L685" s="30">
        <f t="shared" ref="L685:L686" si="142">L683+K685</f>
        <v>1127266.4092057033</v>
      </c>
    </row>
    <row r="686" spans="1:12" ht="30" customHeight="1" x14ac:dyDescent="0.2">
      <c r="A686" s="27" t="s">
        <v>1388</v>
      </c>
      <c r="B686" s="27"/>
      <c r="C686" s="27" t="s">
        <v>560</v>
      </c>
      <c r="D686" s="31">
        <f>D685+1.417</f>
        <v>6.899</v>
      </c>
      <c r="E686" s="27">
        <v>404731</v>
      </c>
      <c r="F686" s="31"/>
      <c r="G686" s="31"/>
      <c r="H686" s="31"/>
      <c r="I686" s="31">
        <v>1.3</v>
      </c>
      <c r="J686" s="31"/>
      <c r="K686" s="30">
        <f t="shared" si="97"/>
        <v>526150.30000000005</v>
      </c>
      <c r="L686" s="30">
        <f t="shared" si="142"/>
        <v>1693276.0092057034</v>
      </c>
    </row>
    <row r="687" spans="1:12" ht="30" customHeight="1" x14ac:dyDescent="0.2">
      <c r="A687" s="27" t="s">
        <v>1388</v>
      </c>
      <c r="B687" s="27"/>
      <c r="C687" s="27" t="s">
        <v>1162</v>
      </c>
      <c r="D687" s="31">
        <f>D684+3</f>
        <v>8.4989999999999988</v>
      </c>
      <c r="E687" s="30">
        <v>30661</v>
      </c>
      <c r="F687" s="31"/>
      <c r="G687" s="31"/>
      <c r="H687" s="31"/>
      <c r="I687" s="31">
        <v>1.3</v>
      </c>
      <c r="J687" s="31"/>
      <c r="K687" s="30">
        <f t="shared" si="97"/>
        <v>39859.300000000003</v>
      </c>
      <c r="L687" s="30">
        <f>L688+K687</f>
        <v>2018444.0204860084</v>
      </c>
    </row>
    <row r="688" spans="1:12" ht="30" customHeight="1" x14ac:dyDescent="0.2">
      <c r="A688" s="27" t="s">
        <v>1388</v>
      </c>
      <c r="B688" s="27"/>
      <c r="C688" s="27" t="s">
        <v>958</v>
      </c>
      <c r="D688" s="31">
        <f>D687+D685-D684</f>
        <v>8.4819999999999993</v>
      </c>
      <c r="E688" s="30">
        <v>95924</v>
      </c>
      <c r="F688" s="31">
        <v>1.2889999999999999</v>
      </c>
      <c r="G688" s="31">
        <v>1.22</v>
      </c>
      <c r="H688" s="31">
        <v>1.35</v>
      </c>
      <c r="I688" s="31">
        <v>1.3</v>
      </c>
      <c r="J688" s="31">
        <v>1.0777000000000001</v>
      </c>
      <c r="K688" s="30">
        <f t="shared" si="97"/>
        <v>285308.71128030494</v>
      </c>
      <c r="L688" s="30">
        <f t="shared" ref="L688:L689" si="143">L686+K688</f>
        <v>1978584.7204860083</v>
      </c>
    </row>
    <row r="689" spans="1:12" ht="30" customHeight="1" x14ac:dyDescent="0.2">
      <c r="A689" s="27" t="s">
        <v>1388</v>
      </c>
      <c r="B689" s="27"/>
      <c r="C689" s="27" t="s">
        <v>959</v>
      </c>
      <c r="D689" s="31">
        <f>D688+1.183</f>
        <v>9.6649999999999991</v>
      </c>
      <c r="E689" s="30">
        <v>95924</v>
      </c>
      <c r="F689" s="31">
        <v>1.2889999999999999</v>
      </c>
      <c r="G689" s="31">
        <v>1.22</v>
      </c>
      <c r="H689" s="31">
        <v>1.35</v>
      </c>
      <c r="I689" s="31">
        <v>1.3</v>
      </c>
      <c r="J689" s="31">
        <v>1.0777000000000001</v>
      </c>
      <c r="K689" s="30">
        <f t="shared" si="97"/>
        <v>285308.71128030494</v>
      </c>
      <c r="L689" s="30">
        <f t="shared" si="143"/>
        <v>2303752.7317663133</v>
      </c>
    </row>
    <row r="690" spans="1:12" ht="30" customHeight="1" x14ac:dyDescent="0.2">
      <c r="A690" s="27" t="s">
        <v>1388</v>
      </c>
      <c r="B690" s="27"/>
      <c r="C690" s="27" t="s">
        <v>1365</v>
      </c>
      <c r="D690" s="31">
        <f>D689+0.8</f>
        <v>10.465</v>
      </c>
      <c r="E690" s="30">
        <v>115423</v>
      </c>
      <c r="F690" s="31"/>
      <c r="G690" s="31"/>
      <c r="H690" s="31">
        <v>1.35</v>
      </c>
      <c r="I690" s="31">
        <v>1.3</v>
      </c>
      <c r="J690" s="31"/>
      <c r="K690" s="30">
        <f t="shared" si="97"/>
        <v>202567.36500000002</v>
      </c>
      <c r="L690" s="30">
        <f t="shared" ref="L690:L692" si="144">K690+L689</f>
        <v>2506320.0967663135</v>
      </c>
    </row>
    <row r="691" spans="1:12" ht="30" customHeight="1" x14ac:dyDescent="0.2">
      <c r="A691" s="27" t="s">
        <v>1388</v>
      </c>
      <c r="B691" s="27"/>
      <c r="C691" s="27" t="s">
        <v>1164</v>
      </c>
      <c r="D691" s="31">
        <f>D690+1.866</f>
        <v>12.331</v>
      </c>
      <c r="E691" s="30">
        <v>25917</v>
      </c>
      <c r="F691" s="31">
        <v>1.1499999999999999</v>
      </c>
      <c r="G691" s="31">
        <v>1.22</v>
      </c>
      <c r="H691" s="31">
        <v>1.35</v>
      </c>
      <c r="I691" s="31">
        <v>1.3</v>
      </c>
      <c r="J691" s="31">
        <v>1.0777000000000001</v>
      </c>
      <c r="K691" s="30">
        <f t="shared" si="97"/>
        <v>68772.91036478852</v>
      </c>
      <c r="L691" s="30">
        <f t="shared" si="144"/>
        <v>2575093.007131102</v>
      </c>
    </row>
    <row r="692" spans="1:12" ht="30" customHeight="1" x14ac:dyDescent="0.2">
      <c r="A692" s="27" t="s">
        <v>1388</v>
      </c>
      <c r="B692" s="27"/>
      <c r="C692" s="27" t="s">
        <v>960</v>
      </c>
      <c r="D692" s="31">
        <f>D691+0.967</f>
        <v>13.298</v>
      </c>
      <c r="E692" s="30">
        <v>95924</v>
      </c>
      <c r="F692" s="31">
        <v>1.2889999999999999</v>
      </c>
      <c r="G692" s="31">
        <v>1.22</v>
      </c>
      <c r="H692" s="31">
        <v>1.35</v>
      </c>
      <c r="I692" s="31">
        <v>1.3</v>
      </c>
      <c r="J692" s="31">
        <v>1.0777000000000001</v>
      </c>
      <c r="K692" s="30">
        <f t="shared" si="97"/>
        <v>285308.71128030494</v>
      </c>
      <c r="L692" s="30">
        <f t="shared" si="144"/>
        <v>2860401.718411407</v>
      </c>
    </row>
    <row r="693" spans="1:12" ht="30" customHeight="1" x14ac:dyDescent="0.2">
      <c r="A693" s="27" t="s">
        <v>1388</v>
      </c>
      <c r="B693" s="27"/>
      <c r="C693" s="27" t="s">
        <v>1168</v>
      </c>
      <c r="D693" s="31">
        <f>D692+1.783-0.3</f>
        <v>14.780999999999999</v>
      </c>
      <c r="E693" s="30">
        <v>30661</v>
      </c>
      <c r="F693" s="31"/>
      <c r="G693" s="31"/>
      <c r="H693" s="31"/>
      <c r="I693" s="31">
        <v>1.3</v>
      </c>
      <c r="J693" s="31"/>
      <c r="K693" s="30">
        <f t="shared" si="97"/>
        <v>39859.300000000003</v>
      </c>
      <c r="L693" s="30">
        <f>L694+K693</f>
        <v>3185569.7296917117</v>
      </c>
    </row>
    <row r="694" spans="1:12" ht="30" customHeight="1" x14ac:dyDescent="0.2">
      <c r="A694" s="27" t="s">
        <v>1388</v>
      </c>
      <c r="B694" s="27"/>
      <c r="C694" s="27" t="s">
        <v>961</v>
      </c>
      <c r="D694" s="31">
        <f>D692+1.466</f>
        <v>14.763999999999999</v>
      </c>
      <c r="E694" s="30">
        <v>95924</v>
      </c>
      <c r="F694" s="31">
        <v>1.2889999999999999</v>
      </c>
      <c r="G694" s="31">
        <v>1.22</v>
      </c>
      <c r="H694" s="31">
        <v>1.35</v>
      </c>
      <c r="I694" s="31">
        <v>1.3</v>
      </c>
      <c r="J694" s="31">
        <v>1.0777000000000001</v>
      </c>
      <c r="K694" s="30">
        <f t="shared" si="97"/>
        <v>285308.71128030494</v>
      </c>
      <c r="L694" s="30">
        <f t="shared" ref="L694:L695" si="145">L692+K694</f>
        <v>3145710.4296917119</v>
      </c>
    </row>
    <row r="695" spans="1:12" ht="30" customHeight="1" x14ac:dyDescent="0.2">
      <c r="A695" s="27" t="s">
        <v>1388</v>
      </c>
      <c r="B695" s="27"/>
      <c r="C695" s="27" t="s">
        <v>1370</v>
      </c>
      <c r="D695" s="31">
        <f>D694+0.8</f>
        <v>15.564</v>
      </c>
      <c r="E695" s="30">
        <v>115423</v>
      </c>
      <c r="F695" s="31"/>
      <c r="G695" s="31"/>
      <c r="H695" s="31">
        <v>1.35</v>
      </c>
      <c r="I695" s="31">
        <v>1.3</v>
      </c>
      <c r="J695" s="31"/>
      <c r="K695" s="30">
        <f t="shared" si="97"/>
        <v>202567.36500000002</v>
      </c>
      <c r="L695" s="30">
        <f t="shared" si="145"/>
        <v>3388137.0946917119</v>
      </c>
    </row>
    <row r="696" spans="1:12" ht="30" customHeight="1" x14ac:dyDescent="0.2">
      <c r="A696" s="27" t="s">
        <v>1388</v>
      </c>
      <c r="B696" s="27"/>
      <c r="C696" s="27" t="s">
        <v>1166</v>
      </c>
      <c r="D696" s="31">
        <f>D695+1.866</f>
        <v>17.43</v>
      </c>
      <c r="E696" s="30">
        <v>25917</v>
      </c>
      <c r="F696" s="31">
        <v>1.1499999999999999</v>
      </c>
      <c r="G696" s="31">
        <v>1.22</v>
      </c>
      <c r="H696" s="31">
        <v>1.35</v>
      </c>
      <c r="I696" s="31">
        <v>1.3</v>
      </c>
      <c r="J696" s="31">
        <v>1.0777000000000001</v>
      </c>
      <c r="K696" s="30">
        <f t="shared" si="97"/>
        <v>68772.91036478852</v>
      </c>
      <c r="L696" s="30">
        <f t="shared" ref="L696:L697" si="146">K696+L695</f>
        <v>3456910.0050565004</v>
      </c>
    </row>
    <row r="697" spans="1:12" ht="30" customHeight="1" x14ac:dyDescent="0.2">
      <c r="A697" s="27" t="s">
        <v>1388</v>
      </c>
      <c r="B697" s="27"/>
      <c r="C697" s="27" t="s">
        <v>962</v>
      </c>
      <c r="D697" s="31">
        <f>D696+0.967</f>
        <v>18.396999999999998</v>
      </c>
      <c r="E697" s="30">
        <v>95924</v>
      </c>
      <c r="F697" s="31">
        <v>1.2889999999999999</v>
      </c>
      <c r="G697" s="31">
        <v>1.22</v>
      </c>
      <c r="H697" s="31">
        <v>1.35</v>
      </c>
      <c r="I697" s="31">
        <v>1.3</v>
      </c>
      <c r="J697" s="31">
        <v>1.0777000000000001</v>
      </c>
      <c r="K697" s="30">
        <f t="shared" si="97"/>
        <v>285308.71128030494</v>
      </c>
      <c r="L697" s="30">
        <f t="shared" si="146"/>
        <v>3742218.7163368054</v>
      </c>
    </row>
    <row r="698" spans="1:12" ht="30" customHeight="1" x14ac:dyDescent="0.2">
      <c r="A698" s="27" t="s">
        <v>1388</v>
      </c>
      <c r="B698" s="27"/>
      <c r="C698" s="27" t="s">
        <v>1174</v>
      </c>
      <c r="D698" s="31">
        <f>D697+1.783-0.3</f>
        <v>19.88</v>
      </c>
      <c r="E698" s="30">
        <v>30661</v>
      </c>
      <c r="F698" s="31"/>
      <c r="G698" s="31"/>
      <c r="H698" s="31"/>
      <c r="I698" s="31">
        <v>1.3</v>
      </c>
      <c r="J698" s="31"/>
      <c r="K698" s="30">
        <f t="shared" si="97"/>
        <v>39859.300000000003</v>
      </c>
      <c r="L698" s="30">
        <f>L699+K698</f>
        <v>4067386.7276171101</v>
      </c>
    </row>
    <row r="699" spans="1:12" ht="30" customHeight="1" x14ac:dyDescent="0.2">
      <c r="A699" s="27" t="s">
        <v>1388</v>
      </c>
      <c r="B699" s="27"/>
      <c r="C699" s="27" t="s">
        <v>963</v>
      </c>
      <c r="D699" s="31">
        <f>D697+1.466</f>
        <v>19.863</v>
      </c>
      <c r="E699" s="30">
        <v>95924</v>
      </c>
      <c r="F699" s="31">
        <v>1.2889999999999999</v>
      </c>
      <c r="G699" s="31">
        <v>1.22</v>
      </c>
      <c r="H699" s="31">
        <v>1.35</v>
      </c>
      <c r="I699" s="31">
        <v>1.3</v>
      </c>
      <c r="J699" s="31">
        <v>1.0777000000000001</v>
      </c>
      <c r="K699" s="30">
        <f t="shared" si="97"/>
        <v>285308.71128030494</v>
      </c>
      <c r="L699" s="30">
        <f t="shared" ref="L699:L700" si="147">L697+K699</f>
        <v>4027527.4276171103</v>
      </c>
    </row>
    <row r="700" spans="1:12" ht="30" customHeight="1" x14ac:dyDescent="0.2">
      <c r="A700" s="27" t="s">
        <v>1388</v>
      </c>
      <c r="B700" s="27"/>
      <c r="C700" s="27" t="s">
        <v>1375</v>
      </c>
      <c r="D700" s="31">
        <f>D699+0.8</f>
        <v>20.663</v>
      </c>
      <c r="E700" s="30">
        <v>115423</v>
      </c>
      <c r="F700" s="31"/>
      <c r="G700" s="31"/>
      <c r="H700" s="31">
        <v>1.35</v>
      </c>
      <c r="I700" s="31">
        <v>1.3</v>
      </c>
      <c r="J700" s="31"/>
      <c r="K700" s="30">
        <f t="shared" si="97"/>
        <v>202567.36500000002</v>
      </c>
      <c r="L700" s="65">
        <f t="shared" si="147"/>
        <v>4269954.0926171103</v>
      </c>
    </row>
    <row r="701" spans="1:12" ht="30" customHeight="1" x14ac:dyDescent="0.2">
      <c r="A701" s="27" t="s">
        <v>1389</v>
      </c>
      <c r="B701" s="27"/>
      <c r="C701" s="27" t="s">
        <v>1360</v>
      </c>
      <c r="D701" s="31">
        <v>0</v>
      </c>
      <c r="E701" s="30">
        <v>115423</v>
      </c>
      <c r="F701" s="31"/>
      <c r="G701" s="31"/>
      <c r="H701" s="31">
        <v>1.35</v>
      </c>
      <c r="I701" s="31">
        <v>1.3</v>
      </c>
      <c r="J701" s="31"/>
      <c r="K701" s="30">
        <f t="shared" si="97"/>
        <v>202567.36500000002</v>
      </c>
      <c r="L701" s="30">
        <f>K701</f>
        <v>202567.36500000002</v>
      </c>
    </row>
    <row r="702" spans="1:12" ht="30" customHeight="1" x14ac:dyDescent="0.2">
      <c r="A702" s="27" t="s">
        <v>1389</v>
      </c>
      <c r="B702" s="27"/>
      <c r="C702" s="27" t="s">
        <v>1160</v>
      </c>
      <c r="D702" s="31">
        <f>D701+1.866</f>
        <v>1.8660000000000001</v>
      </c>
      <c r="E702" s="30">
        <v>25917</v>
      </c>
      <c r="F702" s="31">
        <v>1.1499999999999999</v>
      </c>
      <c r="G702" s="31">
        <v>1.22</v>
      </c>
      <c r="H702" s="31">
        <v>1.35</v>
      </c>
      <c r="I702" s="31">
        <v>1.3</v>
      </c>
      <c r="J702" s="31">
        <v>1.0777000000000001</v>
      </c>
      <c r="K702" s="30">
        <f t="shared" si="97"/>
        <v>68772.91036478852</v>
      </c>
      <c r="L702" s="30">
        <f t="shared" ref="L702:L704" si="148">K702+L701</f>
        <v>271340.27536478854</v>
      </c>
    </row>
    <row r="703" spans="1:12" ht="30" customHeight="1" x14ac:dyDescent="0.2">
      <c r="A703" s="27" t="s">
        <v>1389</v>
      </c>
      <c r="B703" s="27"/>
      <c r="C703" s="27" t="s">
        <v>955</v>
      </c>
      <c r="D703" s="31">
        <f>D702+0.967</f>
        <v>2.8330000000000002</v>
      </c>
      <c r="E703" s="27">
        <f t="shared" ref="E703:E704" si="149">55055+17284</f>
        <v>72339</v>
      </c>
      <c r="F703" s="31"/>
      <c r="G703" s="31">
        <v>1.22</v>
      </c>
      <c r="H703" s="31">
        <v>1.35</v>
      </c>
      <c r="I703" s="31">
        <v>1.3</v>
      </c>
      <c r="J703" s="31">
        <v>1.0777000000000001</v>
      </c>
      <c r="K703" s="30">
        <f t="shared" si="97"/>
        <v>166919.59995633003</v>
      </c>
      <c r="L703" s="30">
        <f t="shared" si="148"/>
        <v>438259.87532111857</v>
      </c>
    </row>
    <row r="704" spans="1:12" ht="30" customHeight="1" x14ac:dyDescent="0.2">
      <c r="A704" s="27" t="s">
        <v>1389</v>
      </c>
      <c r="B704" s="27"/>
      <c r="C704" s="27" t="s">
        <v>956</v>
      </c>
      <c r="D704" s="31">
        <f>D703+1.183</f>
        <v>4.016</v>
      </c>
      <c r="E704" s="27">
        <f t="shared" si="149"/>
        <v>72339</v>
      </c>
      <c r="F704" s="31">
        <v>1.35</v>
      </c>
      <c r="G704" s="31">
        <v>1.22</v>
      </c>
      <c r="H704" s="31">
        <v>1.35</v>
      </c>
      <c r="I704" s="31">
        <v>1.3</v>
      </c>
      <c r="J704" s="31">
        <v>1.0777000000000001</v>
      </c>
      <c r="K704" s="30">
        <f t="shared" si="97"/>
        <v>225341.45994104556</v>
      </c>
      <c r="L704" s="30">
        <f t="shared" si="148"/>
        <v>663601.33526216412</v>
      </c>
    </row>
    <row r="705" spans="1:12" ht="30" customHeight="1" x14ac:dyDescent="0.2">
      <c r="A705" s="27" t="s">
        <v>1389</v>
      </c>
      <c r="B705" s="27"/>
      <c r="C705" s="27" t="s">
        <v>1161</v>
      </c>
      <c r="D705" s="31">
        <f>D704+1.783-0.3</f>
        <v>5.4989999999999997</v>
      </c>
      <c r="E705" s="30">
        <v>30661</v>
      </c>
      <c r="F705" s="31"/>
      <c r="G705" s="31"/>
      <c r="H705" s="31"/>
      <c r="I705" s="31">
        <v>1.3</v>
      </c>
      <c r="J705" s="31"/>
      <c r="K705" s="30">
        <f t="shared" si="97"/>
        <v>39859.300000000003</v>
      </c>
      <c r="L705" s="30">
        <f>L706+K705</f>
        <v>928802.09520320967</v>
      </c>
    </row>
    <row r="706" spans="1:12" ht="30" customHeight="1" x14ac:dyDescent="0.2">
      <c r="A706" s="27" t="s">
        <v>1389</v>
      </c>
      <c r="B706" s="27"/>
      <c r="C706" s="27" t="s">
        <v>957</v>
      </c>
      <c r="D706" s="31">
        <f>D704+1.466</f>
        <v>5.4820000000000002</v>
      </c>
      <c r="E706" s="27">
        <f>55055+17284</f>
        <v>72339</v>
      </c>
      <c r="F706" s="31">
        <v>1.35</v>
      </c>
      <c r="G706" s="31">
        <v>1.22</v>
      </c>
      <c r="H706" s="31">
        <v>1.35</v>
      </c>
      <c r="I706" s="31">
        <v>1.3</v>
      </c>
      <c r="J706" s="31">
        <v>1.0777000000000001</v>
      </c>
      <c r="K706" s="30">
        <f t="shared" si="97"/>
        <v>225341.45994104556</v>
      </c>
      <c r="L706" s="30">
        <f t="shared" ref="L706:L707" si="150">L704+K706</f>
        <v>888942.79520320962</v>
      </c>
    </row>
    <row r="707" spans="1:12" ht="30" customHeight="1" x14ac:dyDescent="0.2">
      <c r="A707" s="27" t="s">
        <v>1389</v>
      </c>
      <c r="B707" s="27"/>
      <c r="C707" s="27" t="s">
        <v>560</v>
      </c>
      <c r="D707" s="31">
        <f>D706+1.417</f>
        <v>6.899</v>
      </c>
      <c r="E707" s="27">
        <v>404731</v>
      </c>
      <c r="F707" s="31"/>
      <c r="G707" s="31"/>
      <c r="H707" s="31"/>
      <c r="I707" s="31">
        <v>1.3</v>
      </c>
      <c r="J707" s="31"/>
      <c r="K707" s="30">
        <f t="shared" si="97"/>
        <v>526150.30000000005</v>
      </c>
      <c r="L707" s="30">
        <f t="shared" si="150"/>
        <v>1454952.3952032097</v>
      </c>
    </row>
    <row r="708" spans="1:12" ht="30" customHeight="1" x14ac:dyDescent="0.2">
      <c r="A708" s="27" t="s">
        <v>1389</v>
      </c>
      <c r="B708" s="27"/>
      <c r="C708" s="27" t="s">
        <v>1162</v>
      </c>
      <c r="D708" s="31">
        <f>D705+3</f>
        <v>8.4989999999999988</v>
      </c>
      <c r="E708" s="30">
        <v>30661</v>
      </c>
      <c r="F708" s="31"/>
      <c r="G708" s="31"/>
      <c r="H708" s="31"/>
      <c r="I708" s="31">
        <v>1.3</v>
      </c>
      <c r="J708" s="31"/>
      <c r="K708" s="30">
        <f t="shared" si="97"/>
        <v>39859.300000000003</v>
      </c>
      <c r="L708" s="30">
        <f>L709+K708</f>
        <v>1720153.1551442554</v>
      </c>
    </row>
    <row r="709" spans="1:12" ht="30" customHeight="1" x14ac:dyDescent="0.2">
      <c r="A709" s="27" t="s">
        <v>1389</v>
      </c>
      <c r="B709" s="27"/>
      <c r="C709" s="27" t="s">
        <v>958</v>
      </c>
      <c r="D709" s="31">
        <f>D708+D706-D705</f>
        <v>8.4819999999999993</v>
      </c>
      <c r="E709" s="27">
        <f t="shared" ref="E709:E710" si="151">55055+17284</f>
        <v>72339</v>
      </c>
      <c r="F709" s="31">
        <v>1.35</v>
      </c>
      <c r="G709" s="31">
        <v>1.22</v>
      </c>
      <c r="H709" s="31">
        <v>1.35</v>
      </c>
      <c r="I709" s="31">
        <v>1.3</v>
      </c>
      <c r="J709" s="31">
        <v>1.0777000000000001</v>
      </c>
      <c r="K709" s="30">
        <f t="shared" si="97"/>
        <v>225341.45994104556</v>
      </c>
      <c r="L709" s="30">
        <f t="shared" ref="L709:L710" si="152">L707+K709</f>
        <v>1680293.8551442553</v>
      </c>
    </row>
    <row r="710" spans="1:12" ht="30" customHeight="1" x14ac:dyDescent="0.2">
      <c r="A710" s="27" t="s">
        <v>1389</v>
      </c>
      <c r="B710" s="27"/>
      <c r="C710" s="27" t="s">
        <v>959</v>
      </c>
      <c r="D710" s="31">
        <f>D709+1.183</f>
        <v>9.6649999999999991</v>
      </c>
      <c r="E710" s="27">
        <f t="shared" si="151"/>
        <v>72339</v>
      </c>
      <c r="F710" s="31">
        <v>1.35</v>
      </c>
      <c r="G710" s="31">
        <v>1.22</v>
      </c>
      <c r="H710" s="31">
        <v>1.35</v>
      </c>
      <c r="I710" s="31">
        <v>1.3</v>
      </c>
      <c r="J710" s="31">
        <v>1.0777000000000001</v>
      </c>
      <c r="K710" s="30">
        <f t="shared" si="97"/>
        <v>225341.45994104556</v>
      </c>
      <c r="L710" s="30">
        <f t="shared" si="152"/>
        <v>1945494.615085301</v>
      </c>
    </row>
    <row r="711" spans="1:12" ht="30" customHeight="1" x14ac:dyDescent="0.2">
      <c r="A711" s="27" t="s">
        <v>1389</v>
      </c>
      <c r="B711" s="27"/>
      <c r="C711" s="27" t="s">
        <v>1365</v>
      </c>
      <c r="D711" s="31">
        <f>D710+0.8</f>
        <v>10.465</v>
      </c>
      <c r="E711" s="30">
        <v>115423</v>
      </c>
      <c r="F711" s="31"/>
      <c r="G711" s="31"/>
      <c r="H711" s="31">
        <v>1.35</v>
      </c>
      <c r="I711" s="31">
        <v>1.3</v>
      </c>
      <c r="J711" s="31"/>
      <c r="K711" s="30">
        <f t="shared" si="97"/>
        <v>202567.36500000002</v>
      </c>
      <c r="L711" s="30">
        <f t="shared" ref="L711:L713" si="153">K711+L710</f>
        <v>2148061.9800853012</v>
      </c>
    </row>
    <row r="712" spans="1:12" ht="30" customHeight="1" x14ac:dyDescent="0.2">
      <c r="A712" s="27" t="s">
        <v>1389</v>
      </c>
      <c r="B712" s="27"/>
      <c r="C712" s="27" t="s">
        <v>1164</v>
      </c>
      <c r="D712" s="31">
        <f>D711+1.866</f>
        <v>12.331</v>
      </c>
      <c r="E712" s="30">
        <v>25917</v>
      </c>
      <c r="F712" s="31">
        <v>1.1499999999999999</v>
      </c>
      <c r="G712" s="31">
        <v>1.22</v>
      </c>
      <c r="H712" s="31">
        <v>1.35</v>
      </c>
      <c r="I712" s="31">
        <v>1.3</v>
      </c>
      <c r="J712" s="31">
        <v>1.0777000000000001</v>
      </c>
      <c r="K712" s="30">
        <f t="shared" si="97"/>
        <v>68772.91036478852</v>
      </c>
      <c r="L712" s="30">
        <f t="shared" si="153"/>
        <v>2216834.8904500897</v>
      </c>
    </row>
    <row r="713" spans="1:12" ht="30" customHeight="1" x14ac:dyDescent="0.2">
      <c r="A713" s="27" t="s">
        <v>1389</v>
      </c>
      <c r="B713" s="27"/>
      <c r="C713" s="27" t="s">
        <v>960</v>
      </c>
      <c r="D713" s="31">
        <f>D712+0.967</f>
        <v>13.298</v>
      </c>
      <c r="E713" s="27">
        <f>55055+17284</f>
        <v>72339</v>
      </c>
      <c r="F713" s="31">
        <v>1.35</v>
      </c>
      <c r="G713" s="31">
        <v>1.22</v>
      </c>
      <c r="H713" s="31">
        <v>1.35</v>
      </c>
      <c r="I713" s="31">
        <v>1.3</v>
      </c>
      <c r="J713" s="31">
        <v>1.0777000000000001</v>
      </c>
      <c r="K713" s="30">
        <f t="shared" si="97"/>
        <v>225341.45994104556</v>
      </c>
      <c r="L713" s="30">
        <f t="shared" si="153"/>
        <v>2442176.3503911351</v>
      </c>
    </row>
    <row r="714" spans="1:12" ht="30" customHeight="1" x14ac:dyDescent="0.2">
      <c r="A714" s="27" t="s">
        <v>1389</v>
      </c>
      <c r="B714" s="27"/>
      <c r="C714" s="27" t="s">
        <v>1168</v>
      </c>
      <c r="D714" s="31">
        <f>D713+1.783-0.3</f>
        <v>14.780999999999999</v>
      </c>
      <c r="E714" s="30">
        <v>30661</v>
      </c>
      <c r="F714" s="31"/>
      <c r="G714" s="31"/>
      <c r="H714" s="31"/>
      <c r="I714" s="31">
        <v>1.3</v>
      </c>
      <c r="J714" s="31"/>
      <c r="K714" s="30">
        <f t="shared" si="97"/>
        <v>39859.300000000003</v>
      </c>
      <c r="L714" s="30">
        <f>L715+K714</f>
        <v>2707377.1103321803</v>
      </c>
    </row>
    <row r="715" spans="1:12" ht="30" customHeight="1" x14ac:dyDescent="0.2">
      <c r="A715" s="27" t="s">
        <v>1389</v>
      </c>
      <c r="B715" s="27"/>
      <c r="C715" s="27" t="s">
        <v>961</v>
      </c>
      <c r="D715" s="31">
        <f>D713+1.466</f>
        <v>14.763999999999999</v>
      </c>
      <c r="E715" s="27">
        <f>55055+17284</f>
        <v>72339</v>
      </c>
      <c r="F715" s="31">
        <v>1.35</v>
      </c>
      <c r="G715" s="31">
        <v>1.22</v>
      </c>
      <c r="H715" s="31">
        <v>1.35</v>
      </c>
      <c r="I715" s="31">
        <v>1.3</v>
      </c>
      <c r="J715" s="31">
        <v>1.0777000000000001</v>
      </c>
      <c r="K715" s="30">
        <f t="shared" si="97"/>
        <v>225341.45994104556</v>
      </c>
      <c r="L715" s="30">
        <f t="shared" ref="L715:L716" si="154">L713+K715</f>
        <v>2667517.8103321805</v>
      </c>
    </row>
    <row r="716" spans="1:12" ht="30" customHeight="1" x14ac:dyDescent="0.2">
      <c r="A716" s="27" t="s">
        <v>1389</v>
      </c>
      <c r="B716" s="27"/>
      <c r="C716" s="27" t="s">
        <v>1370</v>
      </c>
      <c r="D716" s="31">
        <f>D715+0.8</f>
        <v>15.564</v>
      </c>
      <c r="E716" s="30">
        <v>115423</v>
      </c>
      <c r="F716" s="31"/>
      <c r="G716" s="31"/>
      <c r="H716" s="31">
        <v>1.35</v>
      </c>
      <c r="I716" s="31">
        <v>1.3</v>
      </c>
      <c r="J716" s="31"/>
      <c r="K716" s="30">
        <f t="shared" si="97"/>
        <v>202567.36500000002</v>
      </c>
      <c r="L716" s="30">
        <f t="shared" si="154"/>
        <v>2909944.4753321805</v>
      </c>
    </row>
    <row r="717" spans="1:12" ht="30" customHeight="1" x14ac:dyDescent="0.2">
      <c r="A717" s="27" t="s">
        <v>1389</v>
      </c>
      <c r="B717" s="27"/>
      <c r="C717" s="27" t="s">
        <v>1166</v>
      </c>
      <c r="D717" s="31">
        <f>D716+1.866</f>
        <v>17.43</v>
      </c>
      <c r="E717" s="30">
        <v>25917</v>
      </c>
      <c r="F717" s="31">
        <v>1.1499999999999999</v>
      </c>
      <c r="G717" s="31">
        <v>1.22</v>
      </c>
      <c r="H717" s="31">
        <v>1.35</v>
      </c>
      <c r="I717" s="31">
        <v>1.3</v>
      </c>
      <c r="J717" s="31">
        <v>1.0777000000000001</v>
      </c>
      <c r="K717" s="30">
        <f t="shared" si="97"/>
        <v>68772.91036478852</v>
      </c>
      <c r="L717" s="30">
        <f t="shared" ref="L717:L718" si="155">K717+L716</f>
        <v>2978717.385696969</v>
      </c>
    </row>
    <row r="718" spans="1:12" ht="30" customHeight="1" x14ac:dyDescent="0.2">
      <c r="A718" s="27" t="s">
        <v>1389</v>
      </c>
      <c r="B718" s="27"/>
      <c r="C718" s="27" t="s">
        <v>962</v>
      </c>
      <c r="D718" s="31">
        <f>D717+0.967</f>
        <v>18.396999999999998</v>
      </c>
      <c r="E718" s="27">
        <f>55055+17284</f>
        <v>72339</v>
      </c>
      <c r="F718" s="31">
        <v>1.35</v>
      </c>
      <c r="G718" s="31">
        <v>1.22</v>
      </c>
      <c r="H718" s="31">
        <v>1.35</v>
      </c>
      <c r="I718" s="31">
        <v>1.3</v>
      </c>
      <c r="J718" s="31">
        <v>1.0777000000000001</v>
      </c>
      <c r="K718" s="30">
        <f t="shared" si="97"/>
        <v>225341.45994104556</v>
      </c>
      <c r="L718" s="30">
        <f t="shared" si="155"/>
        <v>3204058.8456380144</v>
      </c>
    </row>
    <row r="719" spans="1:12" ht="30" customHeight="1" x14ac:dyDescent="0.2">
      <c r="A719" s="27" t="s">
        <v>1389</v>
      </c>
      <c r="B719" s="27"/>
      <c r="C719" s="27" t="s">
        <v>1174</v>
      </c>
      <c r="D719" s="31">
        <f>D718+1.783-0.3</f>
        <v>19.88</v>
      </c>
      <c r="E719" s="30">
        <v>30661</v>
      </c>
      <c r="F719" s="31"/>
      <c r="G719" s="31"/>
      <c r="H719" s="31"/>
      <c r="I719" s="31">
        <v>1.3</v>
      </c>
      <c r="J719" s="31"/>
      <c r="K719" s="30">
        <f t="shared" si="97"/>
        <v>39859.300000000003</v>
      </c>
      <c r="L719" s="30">
        <f>L720+K719</f>
        <v>3469259.6055790596</v>
      </c>
    </row>
    <row r="720" spans="1:12" ht="30" customHeight="1" x14ac:dyDescent="0.2">
      <c r="A720" s="27" t="s">
        <v>1389</v>
      </c>
      <c r="B720" s="27"/>
      <c r="C720" s="27" t="s">
        <v>963</v>
      </c>
      <c r="D720" s="31">
        <f>D718+1.466</f>
        <v>19.863</v>
      </c>
      <c r="E720" s="27">
        <f>55055+17284</f>
        <v>72339</v>
      </c>
      <c r="F720" s="31">
        <v>1.35</v>
      </c>
      <c r="G720" s="31">
        <v>1.22</v>
      </c>
      <c r="H720" s="31">
        <v>1.35</v>
      </c>
      <c r="I720" s="31">
        <v>1.3</v>
      </c>
      <c r="J720" s="31">
        <v>1.0777000000000001</v>
      </c>
      <c r="K720" s="30">
        <f t="shared" si="97"/>
        <v>225341.45994104556</v>
      </c>
      <c r="L720" s="30">
        <f t="shared" ref="L720:L721" si="156">L718+K720</f>
        <v>3429400.3055790598</v>
      </c>
    </row>
    <row r="721" spans="1:12" ht="30" customHeight="1" x14ac:dyDescent="0.2">
      <c r="A721" s="27" t="s">
        <v>1389</v>
      </c>
      <c r="B721" s="27"/>
      <c r="C721" s="27" t="s">
        <v>1375</v>
      </c>
      <c r="D721" s="31">
        <f>D720+0.8</f>
        <v>20.663</v>
      </c>
      <c r="E721" s="30">
        <v>115423</v>
      </c>
      <c r="F721" s="31"/>
      <c r="G721" s="31"/>
      <c r="H721" s="31">
        <v>1.35</v>
      </c>
      <c r="I721" s="31">
        <v>1.3</v>
      </c>
      <c r="J721" s="31"/>
      <c r="K721" s="30">
        <f t="shared" si="97"/>
        <v>202567.36500000002</v>
      </c>
      <c r="L721" s="65">
        <f t="shared" si="156"/>
        <v>3671826.9705790598</v>
      </c>
    </row>
    <row r="722" spans="1:12" ht="30" customHeight="1" x14ac:dyDescent="0.2">
      <c r="A722" s="27" t="s">
        <v>1390</v>
      </c>
      <c r="B722" s="27"/>
      <c r="C722" s="27" t="s">
        <v>936</v>
      </c>
      <c r="D722" s="31">
        <v>1.7</v>
      </c>
      <c r="E722" s="30">
        <v>566782</v>
      </c>
      <c r="F722" s="31"/>
      <c r="G722" s="31"/>
      <c r="H722" s="31"/>
      <c r="I722" s="31">
        <v>1.3</v>
      </c>
      <c r="J722" s="31"/>
      <c r="K722" s="30">
        <f t="shared" si="97"/>
        <v>736816.6</v>
      </c>
      <c r="L722" s="30">
        <f>K722</f>
        <v>736816.6</v>
      </c>
    </row>
    <row r="723" spans="1:12" ht="30" customHeight="1" x14ac:dyDescent="0.2">
      <c r="A723" s="27" t="s">
        <v>1390</v>
      </c>
      <c r="B723" s="27"/>
      <c r="C723" s="27" t="s">
        <v>1360</v>
      </c>
      <c r="D723" s="31">
        <v>2.9</v>
      </c>
      <c r="E723" s="30">
        <v>115423</v>
      </c>
      <c r="F723" s="31"/>
      <c r="G723" s="31"/>
      <c r="H723" s="31">
        <v>1.35</v>
      </c>
      <c r="I723" s="31">
        <v>1.3</v>
      </c>
      <c r="J723" s="31"/>
      <c r="K723" s="30">
        <f t="shared" si="97"/>
        <v>202567.36500000002</v>
      </c>
      <c r="L723" s="30">
        <f t="shared" ref="L723:L743" si="157">K723+L722</f>
        <v>939383.96499999997</v>
      </c>
    </row>
    <row r="724" spans="1:12" ht="30" customHeight="1" x14ac:dyDescent="0.2">
      <c r="A724" s="27" t="s">
        <v>1390</v>
      </c>
      <c r="B724" s="27"/>
      <c r="C724" s="27" t="s">
        <v>1391</v>
      </c>
      <c r="D724" s="31">
        <f>D723+1.95</f>
        <v>4.8499999999999996</v>
      </c>
      <c r="E724" s="30">
        <f>13686</f>
        <v>13686</v>
      </c>
      <c r="F724" s="31">
        <v>1.2</v>
      </c>
      <c r="G724" s="31">
        <v>1.22</v>
      </c>
      <c r="H724" s="31">
        <v>1.35</v>
      </c>
      <c r="I724" s="31">
        <v>1.3</v>
      </c>
      <c r="J724" s="31">
        <v>1.0777000000000001</v>
      </c>
      <c r="K724" s="30">
        <f t="shared" si="97"/>
        <v>37895.934060504005</v>
      </c>
      <c r="L724" s="30">
        <f t="shared" si="157"/>
        <v>977279.89906050393</v>
      </c>
    </row>
    <row r="725" spans="1:12" ht="30" customHeight="1" x14ac:dyDescent="0.2">
      <c r="A725" s="27" t="s">
        <v>1390</v>
      </c>
      <c r="B725" s="27"/>
      <c r="C725" s="27" t="s">
        <v>955</v>
      </c>
      <c r="D725" s="31">
        <v>5.9329999999999998</v>
      </c>
      <c r="E725" s="30">
        <v>95924</v>
      </c>
      <c r="F725" s="31">
        <v>1.2889999999999999</v>
      </c>
      <c r="G725" s="31">
        <v>1.22</v>
      </c>
      <c r="H725" s="31">
        <v>1.35</v>
      </c>
      <c r="I725" s="31">
        <v>1.3</v>
      </c>
      <c r="J725" s="31">
        <v>1.0777000000000001</v>
      </c>
      <c r="K725" s="30">
        <f t="shared" si="97"/>
        <v>285308.71128030494</v>
      </c>
      <c r="L725" s="30">
        <f t="shared" si="157"/>
        <v>1262588.610340809</v>
      </c>
    </row>
    <row r="726" spans="1:12" ht="30" customHeight="1" x14ac:dyDescent="0.2">
      <c r="A726" s="27" t="s">
        <v>1390</v>
      </c>
      <c r="B726" s="27"/>
      <c r="C726" s="27" t="s">
        <v>956</v>
      </c>
      <c r="D726" s="31">
        <f>D725+1.183</f>
        <v>7.1159999999999997</v>
      </c>
      <c r="E726" s="30">
        <v>95924</v>
      </c>
      <c r="F726" s="31">
        <v>1.2889999999999999</v>
      </c>
      <c r="G726" s="31">
        <v>1.22</v>
      </c>
      <c r="H726" s="31">
        <v>1.35</v>
      </c>
      <c r="I726" s="31">
        <v>1.3</v>
      </c>
      <c r="J726" s="31">
        <v>1.0777000000000001</v>
      </c>
      <c r="K726" s="30">
        <f t="shared" si="97"/>
        <v>285308.71128030494</v>
      </c>
      <c r="L726" s="30">
        <f t="shared" si="157"/>
        <v>1547897.3216211139</v>
      </c>
    </row>
    <row r="727" spans="1:12" ht="30" customHeight="1" x14ac:dyDescent="0.2">
      <c r="A727" s="27" t="s">
        <v>1390</v>
      </c>
      <c r="B727" s="27"/>
      <c r="C727" s="27" t="s">
        <v>957</v>
      </c>
      <c r="D727" s="31">
        <f>D726+1.5</f>
        <v>8.6159999999999997</v>
      </c>
      <c r="E727" s="30">
        <v>95924</v>
      </c>
      <c r="F727" s="31">
        <v>1.2889999999999999</v>
      </c>
      <c r="G727" s="31">
        <v>1.22</v>
      </c>
      <c r="H727" s="31">
        <v>1.35</v>
      </c>
      <c r="I727" s="31">
        <v>1.3</v>
      </c>
      <c r="J727" s="31">
        <v>1.0777000000000001</v>
      </c>
      <c r="K727" s="30">
        <f t="shared" si="97"/>
        <v>285308.71128030494</v>
      </c>
      <c r="L727" s="30">
        <f t="shared" si="157"/>
        <v>1833206.0329014189</v>
      </c>
    </row>
    <row r="728" spans="1:12" ht="30" customHeight="1" x14ac:dyDescent="0.2">
      <c r="A728" s="27" t="s">
        <v>1390</v>
      </c>
      <c r="B728" s="27"/>
      <c r="C728" s="27" t="s">
        <v>958</v>
      </c>
      <c r="D728" s="31">
        <f>D727+1.267</f>
        <v>9.8829999999999991</v>
      </c>
      <c r="E728" s="30">
        <v>95924</v>
      </c>
      <c r="F728" s="31">
        <v>1.2889999999999999</v>
      </c>
      <c r="G728" s="31">
        <v>1.22</v>
      </c>
      <c r="H728" s="31">
        <v>1.35</v>
      </c>
      <c r="I728" s="31">
        <v>1.3</v>
      </c>
      <c r="J728" s="31">
        <v>1.0777000000000001</v>
      </c>
      <c r="K728" s="30">
        <f t="shared" si="97"/>
        <v>285308.71128030494</v>
      </c>
      <c r="L728" s="30">
        <f t="shared" si="157"/>
        <v>2118514.7441817238</v>
      </c>
    </row>
    <row r="729" spans="1:12" ht="30" customHeight="1" x14ac:dyDescent="0.2">
      <c r="A729" s="27" t="s">
        <v>1390</v>
      </c>
      <c r="B729" s="27"/>
      <c r="C729" s="27" t="s">
        <v>1365</v>
      </c>
      <c r="D729" s="31">
        <f>D728+0.733</f>
        <v>10.616</v>
      </c>
      <c r="E729" s="30">
        <v>115423</v>
      </c>
      <c r="F729" s="31"/>
      <c r="G729" s="31"/>
      <c r="H729" s="31">
        <v>1.35</v>
      </c>
      <c r="I729" s="31">
        <v>1.3</v>
      </c>
      <c r="J729" s="31"/>
      <c r="K729" s="30">
        <f t="shared" si="97"/>
        <v>202567.36500000002</v>
      </c>
      <c r="L729" s="30">
        <f t="shared" si="157"/>
        <v>2321082.109181724</v>
      </c>
    </row>
    <row r="730" spans="1:12" ht="30" customHeight="1" x14ac:dyDescent="0.2">
      <c r="A730" s="27" t="s">
        <v>1390</v>
      </c>
      <c r="B730" s="27"/>
      <c r="C730" s="27" t="s">
        <v>1392</v>
      </c>
      <c r="D730" s="31">
        <f>D729+1.95</f>
        <v>12.565999999999999</v>
      </c>
      <c r="E730" s="30">
        <f t="shared" ref="E730:E731" si="158">13686</f>
        <v>13686</v>
      </c>
      <c r="F730" s="31">
        <v>1.2</v>
      </c>
      <c r="G730" s="31">
        <v>1.22</v>
      </c>
      <c r="H730" s="31">
        <v>1.35</v>
      </c>
      <c r="I730" s="31">
        <v>1.3</v>
      </c>
      <c r="J730" s="31">
        <v>1.0777000000000001</v>
      </c>
      <c r="K730" s="30">
        <f t="shared" si="97"/>
        <v>37895.934060504005</v>
      </c>
      <c r="L730" s="30">
        <f t="shared" si="157"/>
        <v>2358978.0432422282</v>
      </c>
    </row>
    <row r="731" spans="1:12" ht="30" customHeight="1" x14ac:dyDescent="0.2">
      <c r="A731" s="27" t="s">
        <v>1390</v>
      </c>
      <c r="B731" s="27"/>
      <c r="C731" s="27" t="s">
        <v>1393</v>
      </c>
      <c r="D731" s="31">
        <f>D730+0.433</f>
        <v>12.998999999999999</v>
      </c>
      <c r="E731" s="30">
        <f t="shared" si="158"/>
        <v>13686</v>
      </c>
      <c r="F731" s="31">
        <v>1.2</v>
      </c>
      <c r="G731" s="31">
        <v>1.22</v>
      </c>
      <c r="H731" s="31">
        <v>1.35</v>
      </c>
      <c r="I731" s="31">
        <v>1.3</v>
      </c>
      <c r="J731" s="31">
        <v>1.0777000000000001</v>
      </c>
      <c r="K731" s="30">
        <f t="shared" si="97"/>
        <v>37895.934060504005</v>
      </c>
      <c r="L731" s="30">
        <f t="shared" si="157"/>
        <v>2396873.9773027324</v>
      </c>
    </row>
    <row r="732" spans="1:12" ht="30" customHeight="1" x14ac:dyDescent="0.2">
      <c r="A732" s="27" t="s">
        <v>1390</v>
      </c>
      <c r="B732" s="27"/>
      <c r="C732" s="27" t="s">
        <v>959</v>
      </c>
      <c r="D732" s="31">
        <f>D731+1.083</f>
        <v>14.081999999999999</v>
      </c>
      <c r="E732" s="30">
        <v>95924</v>
      </c>
      <c r="F732" s="31">
        <v>1.2889999999999999</v>
      </c>
      <c r="G732" s="31">
        <v>1.22</v>
      </c>
      <c r="H732" s="31">
        <v>1.35</v>
      </c>
      <c r="I732" s="31">
        <v>1.3</v>
      </c>
      <c r="J732" s="31">
        <v>1.0777000000000001</v>
      </c>
      <c r="K732" s="30">
        <f t="shared" si="97"/>
        <v>285308.71128030494</v>
      </c>
      <c r="L732" s="30">
        <f t="shared" si="157"/>
        <v>2682182.6885830374</v>
      </c>
    </row>
    <row r="733" spans="1:12" ht="30" customHeight="1" x14ac:dyDescent="0.2">
      <c r="A733" s="27" t="s">
        <v>1390</v>
      </c>
      <c r="B733" s="27"/>
      <c r="C733" s="27" t="s">
        <v>1370</v>
      </c>
      <c r="D733" s="31">
        <f>D732+0.733</f>
        <v>14.815</v>
      </c>
      <c r="E733" s="30">
        <v>115423</v>
      </c>
      <c r="F733" s="31"/>
      <c r="G733" s="31"/>
      <c r="H733" s="31">
        <v>1.35</v>
      </c>
      <c r="I733" s="31">
        <v>1.3</v>
      </c>
      <c r="J733" s="31"/>
      <c r="K733" s="30">
        <f t="shared" si="97"/>
        <v>202567.36500000002</v>
      </c>
      <c r="L733" s="30">
        <f t="shared" si="157"/>
        <v>2884750.0535830376</v>
      </c>
    </row>
    <row r="734" spans="1:12" ht="30" customHeight="1" x14ac:dyDescent="0.2">
      <c r="A734" s="27" t="s">
        <v>1390</v>
      </c>
      <c r="B734" s="27"/>
      <c r="C734" s="27" t="s">
        <v>1394</v>
      </c>
      <c r="D734" s="31">
        <f>D733+1.95</f>
        <v>16.765000000000001</v>
      </c>
      <c r="E734" s="30">
        <f t="shared" ref="E734:E735" si="159">13686</f>
        <v>13686</v>
      </c>
      <c r="F734" s="31">
        <v>1.2</v>
      </c>
      <c r="G734" s="31">
        <v>1.22</v>
      </c>
      <c r="H734" s="31">
        <v>1.35</v>
      </c>
      <c r="I734" s="31">
        <v>1.3</v>
      </c>
      <c r="J734" s="31">
        <v>1.0777000000000001</v>
      </c>
      <c r="K734" s="30">
        <f t="shared" si="97"/>
        <v>37895.934060504005</v>
      </c>
      <c r="L734" s="30">
        <f t="shared" si="157"/>
        <v>2922645.9876435418</v>
      </c>
    </row>
    <row r="735" spans="1:12" ht="30" customHeight="1" x14ac:dyDescent="0.2">
      <c r="A735" s="27" t="s">
        <v>1390</v>
      </c>
      <c r="B735" s="27"/>
      <c r="C735" s="27" t="s">
        <v>1395</v>
      </c>
      <c r="D735" s="31">
        <f>D734+0.433</f>
        <v>17.198</v>
      </c>
      <c r="E735" s="30">
        <f t="shared" si="159"/>
        <v>13686</v>
      </c>
      <c r="F735" s="31">
        <v>1.2</v>
      </c>
      <c r="G735" s="31">
        <v>1.22</v>
      </c>
      <c r="H735" s="31">
        <v>1.35</v>
      </c>
      <c r="I735" s="31">
        <v>1.3</v>
      </c>
      <c r="J735" s="31">
        <v>1.0777000000000001</v>
      </c>
      <c r="K735" s="30">
        <f t="shared" si="97"/>
        <v>37895.934060504005</v>
      </c>
      <c r="L735" s="30">
        <f t="shared" si="157"/>
        <v>2960541.921704046</v>
      </c>
    </row>
    <row r="736" spans="1:12" ht="30" customHeight="1" x14ac:dyDescent="0.2">
      <c r="A736" s="27" t="s">
        <v>1390</v>
      </c>
      <c r="B736" s="27"/>
      <c r="C736" s="27" t="s">
        <v>960</v>
      </c>
      <c r="D736" s="31">
        <f>D735+1.083</f>
        <v>18.280999999999999</v>
      </c>
      <c r="E736" s="30">
        <v>95924</v>
      </c>
      <c r="F736" s="31">
        <v>1.2889999999999999</v>
      </c>
      <c r="G736" s="31">
        <v>1.22</v>
      </c>
      <c r="H736" s="31">
        <v>1.35</v>
      </c>
      <c r="I736" s="31">
        <v>1.3</v>
      </c>
      <c r="J736" s="31">
        <v>1.0777000000000001</v>
      </c>
      <c r="K736" s="30">
        <f t="shared" si="97"/>
        <v>285308.71128030494</v>
      </c>
      <c r="L736" s="30">
        <f t="shared" si="157"/>
        <v>3245850.6329843509</v>
      </c>
    </row>
    <row r="737" spans="1:12" ht="30" customHeight="1" x14ac:dyDescent="0.2">
      <c r="A737" s="27" t="s">
        <v>1390</v>
      </c>
      <c r="B737" s="27"/>
      <c r="C737" s="27" t="s">
        <v>961</v>
      </c>
      <c r="D737" s="31">
        <f>D736+1.5</f>
        <v>19.780999999999999</v>
      </c>
      <c r="E737" s="30">
        <v>95924</v>
      </c>
      <c r="F737" s="31">
        <v>1.2889999999999999</v>
      </c>
      <c r="G737" s="31">
        <v>1.22</v>
      </c>
      <c r="H737" s="31">
        <v>1.35</v>
      </c>
      <c r="I737" s="31">
        <v>1.3</v>
      </c>
      <c r="J737" s="31">
        <v>1.0777000000000001</v>
      </c>
      <c r="K737" s="30">
        <f t="shared" si="97"/>
        <v>285308.71128030494</v>
      </c>
      <c r="L737" s="30">
        <f t="shared" si="157"/>
        <v>3531159.3442646558</v>
      </c>
    </row>
    <row r="738" spans="1:12" ht="30" customHeight="1" x14ac:dyDescent="0.2">
      <c r="A738" s="27" t="s">
        <v>1390</v>
      </c>
      <c r="B738" s="27"/>
      <c r="C738" s="27" t="s">
        <v>962</v>
      </c>
      <c r="D738" s="31">
        <f>D737+1.267</f>
        <v>21.047999999999998</v>
      </c>
      <c r="E738" s="30">
        <v>95924</v>
      </c>
      <c r="F738" s="31">
        <v>1.2889999999999999</v>
      </c>
      <c r="G738" s="31">
        <v>1.22</v>
      </c>
      <c r="H738" s="31">
        <v>1.35</v>
      </c>
      <c r="I738" s="31">
        <v>1.3</v>
      </c>
      <c r="J738" s="31">
        <v>1.0777000000000001</v>
      </c>
      <c r="K738" s="30">
        <f t="shared" si="97"/>
        <v>285308.71128030494</v>
      </c>
      <c r="L738" s="30">
        <f t="shared" si="157"/>
        <v>3816468.0555449608</v>
      </c>
    </row>
    <row r="739" spans="1:12" ht="30" customHeight="1" x14ac:dyDescent="0.2">
      <c r="A739" s="27" t="s">
        <v>1390</v>
      </c>
      <c r="B739" s="27"/>
      <c r="C739" s="27" t="s">
        <v>1375</v>
      </c>
      <c r="D739" s="31">
        <f>D738+0.733</f>
        <v>21.780999999999999</v>
      </c>
      <c r="E739" s="30">
        <v>115423</v>
      </c>
      <c r="F739" s="31"/>
      <c r="G739" s="31"/>
      <c r="H739" s="31">
        <v>1.35</v>
      </c>
      <c r="I739" s="31">
        <v>1.3</v>
      </c>
      <c r="J739" s="31"/>
      <c r="K739" s="30">
        <f t="shared" si="97"/>
        <v>202567.36500000002</v>
      </c>
      <c r="L739" s="30">
        <f t="shared" si="157"/>
        <v>4019035.420544961</v>
      </c>
    </row>
    <row r="740" spans="1:12" ht="30" customHeight="1" x14ac:dyDescent="0.2">
      <c r="A740" s="27" t="s">
        <v>1390</v>
      </c>
      <c r="B740" s="27"/>
      <c r="C740" s="27" t="s">
        <v>1396</v>
      </c>
      <c r="D740" s="31">
        <f>D739+1.95</f>
        <v>23.730999999999998</v>
      </c>
      <c r="E740" s="30">
        <f t="shared" ref="E740:E741" si="160">13686</f>
        <v>13686</v>
      </c>
      <c r="F740" s="31">
        <v>1.2</v>
      </c>
      <c r="G740" s="31">
        <v>1.22</v>
      </c>
      <c r="H740" s="31">
        <v>1.35</v>
      </c>
      <c r="I740" s="31">
        <v>1.3</v>
      </c>
      <c r="J740" s="31">
        <v>1.0777000000000001</v>
      </c>
      <c r="K740" s="30">
        <f t="shared" si="97"/>
        <v>37895.934060504005</v>
      </c>
      <c r="L740" s="30">
        <f t="shared" si="157"/>
        <v>4056931.3546054652</v>
      </c>
    </row>
    <row r="741" spans="1:12" ht="30" customHeight="1" x14ac:dyDescent="0.2">
      <c r="A741" s="27" t="s">
        <v>1390</v>
      </c>
      <c r="B741" s="27"/>
      <c r="C741" s="27" t="s">
        <v>1397</v>
      </c>
      <c r="D741" s="31">
        <f>D740+0.433</f>
        <v>24.163999999999998</v>
      </c>
      <c r="E741" s="30">
        <f t="shared" si="160"/>
        <v>13686</v>
      </c>
      <c r="F741" s="31">
        <v>1.2</v>
      </c>
      <c r="G741" s="31">
        <v>1.22</v>
      </c>
      <c r="H741" s="31">
        <v>1.35</v>
      </c>
      <c r="I741" s="31">
        <v>1.3</v>
      </c>
      <c r="J741" s="31">
        <v>1.0777000000000001</v>
      </c>
      <c r="K741" s="30">
        <f t="shared" si="97"/>
        <v>37895.934060504005</v>
      </c>
      <c r="L741" s="30">
        <f t="shared" si="157"/>
        <v>4094827.2886659694</v>
      </c>
    </row>
    <row r="742" spans="1:12" ht="30" customHeight="1" x14ac:dyDescent="0.2">
      <c r="A742" s="27" t="s">
        <v>1390</v>
      </c>
      <c r="B742" s="27"/>
      <c r="C742" s="27" t="s">
        <v>963</v>
      </c>
      <c r="D742" s="31">
        <f>D741+1.083</f>
        <v>25.246999999999996</v>
      </c>
      <c r="E742" s="30">
        <v>95924</v>
      </c>
      <c r="F742" s="31">
        <v>1.2889999999999999</v>
      </c>
      <c r="G742" s="31">
        <v>1.22</v>
      </c>
      <c r="H742" s="31">
        <v>1.35</v>
      </c>
      <c r="I742" s="31">
        <v>1.3</v>
      </c>
      <c r="J742" s="31">
        <v>1.0777000000000001</v>
      </c>
      <c r="K742" s="30">
        <f t="shared" si="97"/>
        <v>285308.71128030494</v>
      </c>
      <c r="L742" s="30">
        <f t="shared" si="157"/>
        <v>4380135.9999462739</v>
      </c>
    </row>
    <row r="743" spans="1:12" ht="30" customHeight="1" x14ac:dyDescent="0.2">
      <c r="A743" s="27" t="s">
        <v>1390</v>
      </c>
      <c r="B743" s="27"/>
      <c r="C743" s="27" t="s">
        <v>1380</v>
      </c>
      <c r="D743" s="31">
        <f>D742+0.733</f>
        <v>25.979999999999997</v>
      </c>
      <c r="E743" s="30">
        <v>115423</v>
      </c>
      <c r="F743" s="31"/>
      <c r="G743" s="31"/>
      <c r="H743" s="31">
        <v>1.35</v>
      </c>
      <c r="I743" s="31">
        <v>1.3</v>
      </c>
      <c r="J743" s="31"/>
      <c r="K743" s="30">
        <f t="shared" si="97"/>
        <v>202567.36500000002</v>
      </c>
      <c r="L743" s="67">
        <f t="shared" si="157"/>
        <v>4582703.3649462741</v>
      </c>
    </row>
    <row r="744" spans="1:12" ht="30" customHeight="1" x14ac:dyDescent="0.2">
      <c r="A744" s="27" t="s">
        <v>1398</v>
      </c>
      <c r="B744" s="27"/>
      <c r="C744" s="27" t="s">
        <v>936</v>
      </c>
      <c r="D744" s="31">
        <v>1.6659999999999999</v>
      </c>
      <c r="E744" s="30">
        <v>566782</v>
      </c>
      <c r="F744" s="31"/>
      <c r="G744" s="31"/>
      <c r="H744" s="31"/>
      <c r="I744" s="31">
        <v>1.3</v>
      </c>
      <c r="J744" s="31"/>
      <c r="K744" s="30">
        <f t="shared" si="97"/>
        <v>736816.6</v>
      </c>
      <c r="L744" s="30">
        <f>K744</f>
        <v>736816.6</v>
      </c>
    </row>
    <row r="745" spans="1:12" ht="30" customHeight="1" x14ac:dyDescent="0.2">
      <c r="A745" s="27" t="s">
        <v>1398</v>
      </c>
      <c r="B745" s="27"/>
      <c r="C745" s="27" t="s">
        <v>1399</v>
      </c>
      <c r="D745" s="31">
        <v>2.766</v>
      </c>
      <c r="E745" s="30">
        <v>3550</v>
      </c>
      <c r="F745" s="31"/>
      <c r="G745" s="31"/>
      <c r="H745" s="31"/>
      <c r="I745" s="31">
        <v>1.3</v>
      </c>
      <c r="J745" s="31"/>
      <c r="K745" s="30">
        <f t="shared" si="97"/>
        <v>4615</v>
      </c>
      <c r="L745" s="30">
        <f t="shared" ref="L745:L769" si="161">L744+K745</f>
        <v>741431.6</v>
      </c>
    </row>
    <row r="746" spans="1:12" ht="30" customHeight="1" x14ac:dyDescent="0.2">
      <c r="A746" s="27" t="s">
        <v>1398</v>
      </c>
      <c r="B746" s="27"/>
      <c r="C746" s="27" t="s">
        <v>1400</v>
      </c>
      <c r="D746" s="31">
        <v>3.9830000000000001</v>
      </c>
      <c r="E746" s="30">
        <f t="shared" ref="E746:E748" si="162">261979/3</f>
        <v>87326.333333333328</v>
      </c>
      <c r="F746" s="31"/>
      <c r="G746" s="31">
        <f t="shared" ref="G746:G748" si="163">1.22</f>
        <v>1.22</v>
      </c>
      <c r="H746" s="31">
        <v>1.35</v>
      </c>
      <c r="I746" s="31">
        <v>1.3</v>
      </c>
      <c r="J746" s="31"/>
      <c r="K746" s="30">
        <f t="shared" si="97"/>
        <v>186974.41230000003</v>
      </c>
      <c r="L746" s="30">
        <f t="shared" si="161"/>
        <v>928406.01230000006</v>
      </c>
    </row>
    <row r="747" spans="1:12" ht="30" customHeight="1" x14ac:dyDescent="0.2">
      <c r="A747" s="27" t="s">
        <v>1398</v>
      </c>
      <c r="B747" s="27"/>
      <c r="C747" s="27" t="s">
        <v>1401</v>
      </c>
      <c r="D747" s="31">
        <f t="shared" ref="D747:D748" si="164">D746+1.183</f>
        <v>5.1660000000000004</v>
      </c>
      <c r="E747" s="30">
        <f t="shared" si="162"/>
        <v>87326.333333333328</v>
      </c>
      <c r="F747" s="31"/>
      <c r="G747" s="31">
        <f t="shared" si="163"/>
        <v>1.22</v>
      </c>
      <c r="H747" s="31">
        <v>1.35</v>
      </c>
      <c r="I747" s="31">
        <v>1.3</v>
      </c>
      <c r="J747" s="31"/>
      <c r="K747" s="30">
        <f t="shared" si="97"/>
        <v>186974.41230000003</v>
      </c>
      <c r="L747" s="30">
        <f t="shared" si="161"/>
        <v>1115380.4246</v>
      </c>
    </row>
    <row r="748" spans="1:12" ht="30" customHeight="1" x14ac:dyDescent="0.2">
      <c r="A748" s="27" t="s">
        <v>1398</v>
      </c>
      <c r="B748" s="27"/>
      <c r="C748" s="27" t="s">
        <v>1402</v>
      </c>
      <c r="D748" s="31">
        <f t="shared" si="164"/>
        <v>6.3490000000000002</v>
      </c>
      <c r="E748" s="30">
        <f t="shared" si="162"/>
        <v>87326.333333333328</v>
      </c>
      <c r="F748" s="31"/>
      <c r="G748" s="31">
        <f t="shared" si="163"/>
        <v>1.22</v>
      </c>
      <c r="H748" s="31">
        <v>1.35</v>
      </c>
      <c r="I748" s="31">
        <v>1.3</v>
      </c>
      <c r="J748" s="31"/>
      <c r="K748" s="30">
        <f t="shared" si="97"/>
        <v>186974.41230000003</v>
      </c>
      <c r="L748" s="30">
        <f t="shared" si="161"/>
        <v>1302354.8369</v>
      </c>
    </row>
    <row r="749" spans="1:12" ht="30" customHeight="1" x14ac:dyDescent="0.2">
      <c r="A749" s="27" t="s">
        <v>1398</v>
      </c>
      <c r="B749" s="27"/>
      <c r="C749" s="27" t="s">
        <v>1403</v>
      </c>
      <c r="D749" s="31">
        <f>D748+0.2</f>
        <v>6.5490000000000004</v>
      </c>
      <c r="E749" s="30">
        <v>3550</v>
      </c>
      <c r="F749" s="31"/>
      <c r="G749" s="31"/>
      <c r="H749" s="31"/>
      <c r="I749" s="31">
        <v>1.3</v>
      </c>
      <c r="J749" s="31"/>
      <c r="K749" s="30">
        <f t="shared" si="97"/>
        <v>4615</v>
      </c>
      <c r="L749" s="30">
        <f t="shared" si="161"/>
        <v>1306969.8369</v>
      </c>
    </row>
    <row r="750" spans="1:12" ht="30" customHeight="1" x14ac:dyDescent="0.2">
      <c r="A750" s="27" t="s">
        <v>1398</v>
      </c>
      <c r="B750" s="27"/>
      <c r="C750" s="27" t="s">
        <v>1404</v>
      </c>
      <c r="D750" s="31">
        <f>D749+1.217</f>
        <v>7.766</v>
      </c>
      <c r="E750" s="30">
        <f t="shared" ref="E750:E752" si="165">261979/3</f>
        <v>87326.333333333328</v>
      </c>
      <c r="F750" s="31"/>
      <c r="G750" s="31">
        <f t="shared" ref="G750:G752" si="166">1.22</f>
        <v>1.22</v>
      </c>
      <c r="H750" s="31">
        <v>1.35</v>
      </c>
      <c r="I750" s="31">
        <v>1.3</v>
      </c>
      <c r="J750" s="31"/>
      <c r="K750" s="30">
        <f t="shared" si="97"/>
        <v>186974.41230000003</v>
      </c>
      <c r="L750" s="30">
        <f t="shared" si="161"/>
        <v>1493944.2492</v>
      </c>
    </row>
    <row r="751" spans="1:12" ht="30" customHeight="1" x14ac:dyDescent="0.2">
      <c r="A751" s="27" t="s">
        <v>1398</v>
      </c>
      <c r="B751" s="27"/>
      <c r="C751" s="27" t="s">
        <v>1405</v>
      </c>
      <c r="D751" s="31">
        <f t="shared" ref="D751:D752" si="167">D750+1.183</f>
        <v>8.9489999999999998</v>
      </c>
      <c r="E751" s="30">
        <f t="shared" si="165"/>
        <v>87326.333333333328</v>
      </c>
      <c r="F751" s="31"/>
      <c r="G751" s="31">
        <f t="shared" si="166"/>
        <v>1.22</v>
      </c>
      <c r="H751" s="31">
        <v>1.35</v>
      </c>
      <c r="I751" s="31">
        <v>1.3</v>
      </c>
      <c r="J751" s="31"/>
      <c r="K751" s="30">
        <f t="shared" si="97"/>
        <v>186974.41230000003</v>
      </c>
      <c r="L751" s="30">
        <f t="shared" si="161"/>
        <v>1680918.6614999999</v>
      </c>
    </row>
    <row r="752" spans="1:12" ht="30" customHeight="1" x14ac:dyDescent="0.2">
      <c r="A752" s="27" t="s">
        <v>1398</v>
      </c>
      <c r="B752" s="27"/>
      <c r="C752" s="27" t="s">
        <v>1406</v>
      </c>
      <c r="D752" s="31">
        <f t="shared" si="167"/>
        <v>10.132</v>
      </c>
      <c r="E752" s="30">
        <f t="shared" si="165"/>
        <v>87326.333333333328</v>
      </c>
      <c r="F752" s="31"/>
      <c r="G752" s="31">
        <f t="shared" si="166"/>
        <v>1.22</v>
      </c>
      <c r="H752" s="31">
        <v>1.35</v>
      </c>
      <c r="I752" s="31">
        <v>1.3</v>
      </c>
      <c r="J752" s="31"/>
      <c r="K752" s="30">
        <f t="shared" si="97"/>
        <v>186974.41230000003</v>
      </c>
      <c r="L752" s="30">
        <f t="shared" si="161"/>
        <v>1867893.0737999999</v>
      </c>
    </row>
    <row r="753" spans="1:12" ht="30" customHeight="1" x14ac:dyDescent="0.2">
      <c r="A753" s="27" t="s">
        <v>1398</v>
      </c>
      <c r="B753" s="27"/>
      <c r="C753" s="27" t="s">
        <v>1407</v>
      </c>
      <c r="D753" s="31">
        <f>D752+0.2</f>
        <v>10.331999999999999</v>
      </c>
      <c r="E753" s="30">
        <v>3550</v>
      </c>
      <c r="F753" s="31"/>
      <c r="G753" s="31"/>
      <c r="H753" s="31"/>
      <c r="I753" s="31">
        <v>1.3</v>
      </c>
      <c r="J753" s="31"/>
      <c r="K753" s="30">
        <f t="shared" si="97"/>
        <v>4615</v>
      </c>
      <c r="L753" s="30">
        <f t="shared" si="161"/>
        <v>1872508.0737999999</v>
      </c>
    </row>
    <row r="754" spans="1:12" ht="30" customHeight="1" x14ac:dyDescent="0.2">
      <c r="A754" s="27" t="s">
        <v>1398</v>
      </c>
      <c r="B754" s="27"/>
      <c r="C754" s="27" t="s">
        <v>1408</v>
      </c>
      <c r="D754" s="31">
        <f>D753+1.217</f>
        <v>11.548999999999999</v>
      </c>
      <c r="E754" s="30">
        <f t="shared" ref="E754:E756" si="168">261979/3</f>
        <v>87326.333333333328</v>
      </c>
      <c r="F754" s="31"/>
      <c r="G754" s="31">
        <f t="shared" ref="G754:G756" si="169">1.22</f>
        <v>1.22</v>
      </c>
      <c r="H754" s="31">
        <v>1.35</v>
      </c>
      <c r="I754" s="31">
        <v>1.3</v>
      </c>
      <c r="J754" s="31"/>
      <c r="K754" s="30">
        <f t="shared" si="97"/>
        <v>186974.41230000003</v>
      </c>
      <c r="L754" s="30">
        <f t="shared" si="161"/>
        <v>2059482.4860999999</v>
      </c>
    </row>
    <row r="755" spans="1:12" ht="30" customHeight="1" x14ac:dyDescent="0.2">
      <c r="A755" s="27" t="s">
        <v>1398</v>
      </c>
      <c r="B755" s="27"/>
      <c r="C755" s="27" t="s">
        <v>1409</v>
      </c>
      <c r="D755" s="31">
        <f t="shared" ref="D755:D756" si="170">D754+1.183</f>
        <v>12.731999999999999</v>
      </c>
      <c r="E755" s="30">
        <f t="shared" si="168"/>
        <v>87326.333333333328</v>
      </c>
      <c r="F755" s="31"/>
      <c r="G755" s="31">
        <f t="shared" si="169"/>
        <v>1.22</v>
      </c>
      <c r="H755" s="31">
        <v>1.35</v>
      </c>
      <c r="I755" s="31">
        <v>1.3</v>
      </c>
      <c r="J755" s="31"/>
      <c r="K755" s="30">
        <f t="shared" si="97"/>
        <v>186974.41230000003</v>
      </c>
      <c r="L755" s="30">
        <f t="shared" si="161"/>
        <v>2246456.8983999998</v>
      </c>
    </row>
    <row r="756" spans="1:12" ht="30" customHeight="1" x14ac:dyDescent="0.2">
      <c r="A756" s="27" t="s">
        <v>1398</v>
      </c>
      <c r="B756" s="27"/>
      <c r="C756" s="27" t="s">
        <v>1410</v>
      </c>
      <c r="D756" s="31">
        <f t="shared" si="170"/>
        <v>13.914999999999999</v>
      </c>
      <c r="E756" s="30">
        <f t="shared" si="168"/>
        <v>87326.333333333328</v>
      </c>
      <c r="F756" s="31"/>
      <c r="G756" s="31">
        <f t="shared" si="169"/>
        <v>1.22</v>
      </c>
      <c r="H756" s="31">
        <v>1.35</v>
      </c>
      <c r="I756" s="31">
        <v>1.3</v>
      </c>
      <c r="J756" s="31"/>
      <c r="K756" s="30">
        <f t="shared" si="97"/>
        <v>186974.41230000003</v>
      </c>
      <c r="L756" s="30">
        <f t="shared" si="161"/>
        <v>2433431.3106999998</v>
      </c>
    </row>
    <row r="757" spans="1:12" ht="30" customHeight="1" x14ac:dyDescent="0.2">
      <c r="A757" s="27" t="s">
        <v>1398</v>
      </c>
      <c r="B757" s="27"/>
      <c r="C757" s="27" t="s">
        <v>1411</v>
      </c>
      <c r="D757" s="31">
        <f>D756+0.2</f>
        <v>14.114999999999998</v>
      </c>
      <c r="E757" s="30">
        <v>3550</v>
      </c>
      <c r="F757" s="31"/>
      <c r="G757" s="31"/>
      <c r="H757" s="31"/>
      <c r="I757" s="31">
        <v>1.3</v>
      </c>
      <c r="J757" s="31"/>
      <c r="K757" s="30">
        <f t="shared" si="97"/>
        <v>4615</v>
      </c>
      <c r="L757" s="30">
        <f t="shared" si="161"/>
        <v>2438046.3106999998</v>
      </c>
    </row>
    <row r="758" spans="1:12" ht="30" customHeight="1" x14ac:dyDescent="0.2">
      <c r="A758" s="27" t="s">
        <v>1398</v>
      </c>
      <c r="B758" s="27"/>
      <c r="C758" s="27" t="s">
        <v>1412</v>
      </c>
      <c r="D758" s="31">
        <f>D757+1.217</f>
        <v>15.331999999999999</v>
      </c>
      <c r="E758" s="30">
        <f t="shared" ref="E758:E760" si="171">261979/3</f>
        <v>87326.333333333328</v>
      </c>
      <c r="F758" s="31"/>
      <c r="G758" s="31">
        <f t="shared" ref="G758:G760" si="172">1.22</f>
        <v>1.22</v>
      </c>
      <c r="H758" s="31">
        <v>1.35</v>
      </c>
      <c r="I758" s="31">
        <v>1.3</v>
      </c>
      <c r="J758" s="31"/>
      <c r="K758" s="30">
        <f t="shared" si="97"/>
        <v>186974.41230000003</v>
      </c>
      <c r="L758" s="30">
        <f t="shared" si="161"/>
        <v>2625020.7229999998</v>
      </c>
    </row>
    <row r="759" spans="1:12" ht="30" customHeight="1" x14ac:dyDescent="0.2">
      <c r="A759" s="27" t="s">
        <v>1398</v>
      </c>
      <c r="B759" s="27"/>
      <c r="C759" s="27" t="s">
        <v>1413</v>
      </c>
      <c r="D759" s="31">
        <f t="shared" ref="D759:D760" si="173">D758+1.183</f>
        <v>16.515000000000001</v>
      </c>
      <c r="E759" s="30">
        <f t="shared" si="171"/>
        <v>87326.333333333328</v>
      </c>
      <c r="F759" s="31"/>
      <c r="G759" s="31">
        <f t="shared" si="172"/>
        <v>1.22</v>
      </c>
      <c r="H759" s="31">
        <v>1.35</v>
      </c>
      <c r="I759" s="31">
        <v>1.3</v>
      </c>
      <c r="J759" s="31"/>
      <c r="K759" s="30">
        <f t="shared" si="97"/>
        <v>186974.41230000003</v>
      </c>
      <c r="L759" s="30">
        <f t="shared" si="161"/>
        <v>2811995.1352999997</v>
      </c>
    </row>
    <row r="760" spans="1:12" ht="30" customHeight="1" x14ac:dyDescent="0.2">
      <c r="A760" s="27" t="s">
        <v>1398</v>
      </c>
      <c r="B760" s="27"/>
      <c r="C760" s="27" t="s">
        <v>1414</v>
      </c>
      <c r="D760" s="31">
        <f t="shared" si="173"/>
        <v>17.698</v>
      </c>
      <c r="E760" s="30">
        <f t="shared" si="171"/>
        <v>87326.333333333328</v>
      </c>
      <c r="F760" s="31"/>
      <c r="G760" s="31">
        <f t="shared" si="172"/>
        <v>1.22</v>
      </c>
      <c r="H760" s="31">
        <v>1.35</v>
      </c>
      <c r="I760" s="31">
        <v>1.3</v>
      </c>
      <c r="J760" s="31"/>
      <c r="K760" s="30">
        <f t="shared" si="97"/>
        <v>186974.41230000003</v>
      </c>
      <c r="L760" s="30">
        <f t="shared" si="161"/>
        <v>2998969.5475999997</v>
      </c>
    </row>
    <row r="761" spans="1:12" ht="30" customHeight="1" x14ac:dyDescent="0.2">
      <c r="A761" s="27" t="s">
        <v>1398</v>
      </c>
      <c r="B761" s="27"/>
      <c r="C761" s="27" t="s">
        <v>1415</v>
      </c>
      <c r="D761" s="31">
        <f>D760+0.2</f>
        <v>17.898</v>
      </c>
      <c r="E761" s="30">
        <v>3550</v>
      </c>
      <c r="F761" s="31"/>
      <c r="G761" s="31"/>
      <c r="H761" s="31"/>
      <c r="I761" s="31">
        <v>1.3</v>
      </c>
      <c r="J761" s="31"/>
      <c r="K761" s="30">
        <f t="shared" si="97"/>
        <v>4615</v>
      </c>
      <c r="L761" s="30">
        <f t="shared" si="161"/>
        <v>3003584.5475999997</v>
      </c>
    </row>
    <row r="762" spans="1:12" ht="30" customHeight="1" x14ac:dyDescent="0.2">
      <c r="A762" s="27" t="s">
        <v>1398</v>
      </c>
      <c r="B762" s="27"/>
      <c r="C762" s="27" t="s">
        <v>1416</v>
      </c>
      <c r="D762" s="31">
        <f>D761+1.217</f>
        <v>19.114999999999998</v>
      </c>
      <c r="E762" s="30">
        <f t="shared" ref="E762:E764" si="174">261979/3</f>
        <v>87326.333333333328</v>
      </c>
      <c r="F762" s="31"/>
      <c r="G762" s="31">
        <f t="shared" ref="G762:G764" si="175">1.22</f>
        <v>1.22</v>
      </c>
      <c r="H762" s="31">
        <v>1.35</v>
      </c>
      <c r="I762" s="31">
        <v>1.3</v>
      </c>
      <c r="J762" s="31"/>
      <c r="K762" s="30">
        <f t="shared" si="97"/>
        <v>186974.41230000003</v>
      </c>
      <c r="L762" s="30">
        <f t="shared" si="161"/>
        <v>3190558.9598999997</v>
      </c>
    </row>
    <row r="763" spans="1:12" ht="30" customHeight="1" x14ac:dyDescent="0.2">
      <c r="A763" s="27" t="s">
        <v>1398</v>
      </c>
      <c r="B763" s="27"/>
      <c r="C763" s="27" t="s">
        <v>1417</v>
      </c>
      <c r="D763" s="31">
        <f t="shared" ref="D763:D764" si="176">D762+1.183</f>
        <v>20.297999999999998</v>
      </c>
      <c r="E763" s="30">
        <f t="shared" si="174"/>
        <v>87326.333333333328</v>
      </c>
      <c r="F763" s="31"/>
      <c r="G763" s="31">
        <f t="shared" si="175"/>
        <v>1.22</v>
      </c>
      <c r="H763" s="31">
        <v>1.35</v>
      </c>
      <c r="I763" s="31">
        <v>1.3</v>
      </c>
      <c r="J763" s="31"/>
      <c r="K763" s="30">
        <f t="shared" si="97"/>
        <v>186974.41230000003</v>
      </c>
      <c r="L763" s="30">
        <f t="shared" si="161"/>
        <v>3377533.3721999996</v>
      </c>
    </row>
    <row r="764" spans="1:12" ht="30" customHeight="1" x14ac:dyDescent="0.2">
      <c r="A764" s="27" t="s">
        <v>1398</v>
      </c>
      <c r="B764" s="27"/>
      <c r="C764" s="27" t="s">
        <v>1418</v>
      </c>
      <c r="D764" s="31">
        <f t="shared" si="176"/>
        <v>21.480999999999998</v>
      </c>
      <c r="E764" s="30">
        <f t="shared" si="174"/>
        <v>87326.333333333328</v>
      </c>
      <c r="F764" s="31"/>
      <c r="G764" s="31">
        <f t="shared" si="175"/>
        <v>1.22</v>
      </c>
      <c r="H764" s="31">
        <v>1.35</v>
      </c>
      <c r="I764" s="31">
        <v>1.3</v>
      </c>
      <c r="J764" s="31"/>
      <c r="K764" s="30">
        <f t="shared" si="97"/>
        <v>186974.41230000003</v>
      </c>
      <c r="L764" s="30">
        <f t="shared" si="161"/>
        <v>3564507.7844999996</v>
      </c>
    </row>
    <row r="765" spans="1:12" ht="30" customHeight="1" x14ac:dyDescent="0.2">
      <c r="A765" s="27" t="s">
        <v>1398</v>
      </c>
      <c r="B765" s="27"/>
      <c r="C765" s="27" t="s">
        <v>1419</v>
      </c>
      <c r="D765" s="31">
        <f>D764+0.2</f>
        <v>21.680999999999997</v>
      </c>
      <c r="E765" s="30">
        <v>3550</v>
      </c>
      <c r="F765" s="31"/>
      <c r="G765" s="31"/>
      <c r="H765" s="31"/>
      <c r="I765" s="31">
        <v>1.3</v>
      </c>
      <c r="J765" s="31"/>
      <c r="K765" s="30">
        <f t="shared" si="97"/>
        <v>4615</v>
      </c>
      <c r="L765" s="30">
        <f t="shared" si="161"/>
        <v>3569122.7844999996</v>
      </c>
    </row>
    <row r="766" spans="1:12" ht="30" customHeight="1" x14ac:dyDescent="0.2">
      <c r="A766" s="27" t="s">
        <v>1398</v>
      </c>
      <c r="B766" s="27"/>
      <c r="C766" s="27" t="s">
        <v>1420</v>
      </c>
      <c r="D766" s="31">
        <f>D765+1.217</f>
        <v>22.897999999999996</v>
      </c>
      <c r="E766" s="30">
        <f t="shared" ref="E766:E768" si="177">261979/3</f>
        <v>87326.333333333328</v>
      </c>
      <c r="F766" s="31"/>
      <c r="G766" s="31">
        <f t="shared" ref="G766:G768" si="178">1.22</f>
        <v>1.22</v>
      </c>
      <c r="H766" s="31">
        <v>1.35</v>
      </c>
      <c r="I766" s="31">
        <v>1.3</v>
      </c>
      <c r="J766" s="31"/>
      <c r="K766" s="30">
        <f t="shared" si="97"/>
        <v>186974.41230000003</v>
      </c>
      <c r="L766" s="30">
        <f t="shared" si="161"/>
        <v>3756097.1967999996</v>
      </c>
    </row>
    <row r="767" spans="1:12" ht="30" customHeight="1" x14ac:dyDescent="0.2">
      <c r="A767" s="27" t="s">
        <v>1398</v>
      </c>
      <c r="B767" s="27"/>
      <c r="C767" s="27" t="s">
        <v>1421</v>
      </c>
      <c r="D767" s="31">
        <f t="shared" ref="D767:D768" si="179">D766+1.183</f>
        <v>24.080999999999996</v>
      </c>
      <c r="E767" s="30">
        <f t="shared" si="177"/>
        <v>87326.333333333328</v>
      </c>
      <c r="F767" s="31"/>
      <c r="G767" s="31">
        <f t="shared" si="178"/>
        <v>1.22</v>
      </c>
      <c r="H767" s="31">
        <v>1.35</v>
      </c>
      <c r="I767" s="31">
        <v>1.3</v>
      </c>
      <c r="J767" s="31"/>
      <c r="K767" s="30">
        <f t="shared" ref="K767:K1021" si="180">PRODUCT(E767:J767)</f>
        <v>186974.41230000003</v>
      </c>
      <c r="L767" s="30">
        <f t="shared" si="161"/>
        <v>3943071.6090999995</v>
      </c>
    </row>
    <row r="768" spans="1:12" ht="30" customHeight="1" x14ac:dyDescent="0.2">
      <c r="A768" s="27" t="s">
        <v>1398</v>
      </c>
      <c r="B768" s="27"/>
      <c r="C768" s="27" t="s">
        <v>1422</v>
      </c>
      <c r="D768" s="31">
        <f t="shared" si="179"/>
        <v>25.263999999999996</v>
      </c>
      <c r="E768" s="30">
        <f t="shared" si="177"/>
        <v>87326.333333333328</v>
      </c>
      <c r="F768" s="31"/>
      <c r="G768" s="31">
        <f t="shared" si="178"/>
        <v>1.22</v>
      </c>
      <c r="H768" s="31">
        <v>1.35</v>
      </c>
      <c r="I768" s="31">
        <v>1.3</v>
      </c>
      <c r="J768" s="31"/>
      <c r="K768" s="30">
        <f t="shared" si="180"/>
        <v>186974.41230000003</v>
      </c>
      <c r="L768" s="30">
        <f t="shared" si="161"/>
        <v>4130046.0213999995</v>
      </c>
    </row>
    <row r="769" spans="1:12" ht="30" customHeight="1" x14ac:dyDescent="0.2">
      <c r="A769" s="27" t="s">
        <v>1398</v>
      </c>
      <c r="B769" s="27"/>
      <c r="C769" s="27" t="s">
        <v>1423</v>
      </c>
      <c r="D769" s="31">
        <f>D768+0.2</f>
        <v>25.463999999999995</v>
      </c>
      <c r="E769" s="30">
        <v>3550</v>
      </c>
      <c r="F769" s="31"/>
      <c r="G769" s="31"/>
      <c r="H769" s="31"/>
      <c r="I769" s="31">
        <v>1.3</v>
      </c>
      <c r="J769" s="31"/>
      <c r="K769" s="30">
        <f t="shared" si="180"/>
        <v>4615</v>
      </c>
      <c r="L769" s="30">
        <f t="shared" si="161"/>
        <v>4134661.0213999995</v>
      </c>
    </row>
    <row r="770" spans="1:12" ht="30" customHeight="1" x14ac:dyDescent="0.2">
      <c r="A770" s="27" t="s">
        <v>1398</v>
      </c>
      <c r="B770" s="27"/>
      <c r="C770" s="27" t="s">
        <v>1424</v>
      </c>
      <c r="D770" s="31">
        <f>D769+1.183</f>
        <v>26.646999999999995</v>
      </c>
      <c r="E770" s="30">
        <f>261979/3</f>
        <v>87326.333333333328</v>
      </c>
      <c r="F770" s="31"/>
      <c r="G770" s="31">
        <f>1.22</f>
        <v>1.22</v>
      </c>
      <c r="H770" s="31">
        <v>1.35</v>
      </c>
      <c r="I770" s="31">
        <v>1.3</v>
      </c>
      <c r="J770" s="31"/>
      <c r="K770" s="30">
        <f t="shared" si="180"/>
        <v>186974.41230000003</v>
      </c>
      <c r="L770" s="65">
        <f>L768+K770</f>
        <v>4317020.4336999999</v>
      </c>
    </row>
    <row r="771" spans="1:12" ht="30" customHeight="1" x14ac:dyDescent="0.2">
      <c r="A771" s="27" t="s">
        <v>1425</v>
      </c>
      <c r="B771" s="27"/>
      <c r="C771" s="27" t="s">
        <v>936</v>
      </c>
      <c r="D771" s="31">
        <v>1.7</v>
      </c>
      <c r="E771" s="30">
        <v>566782</v>
      </c>
      <c r="F771" s="31"/>
      <c r="G771" s="31"/>
      <c r="H771" s="31"/>
      <c r="I771" s="31">
        <v>1.3</v>
      </c>
      <c r="J771" s="31"/>
      <c r="K771" s="30">
        <f t="shared" si="180"/>
        <v>736816.6</v>
      </c>
      <c r="L771" s="30">
        <f>K771</f>
        <v>736816.6</v>
      </c>
    </row>
    <row r="772" spans="1:12" ht="30" customHeight="1" x14ac:dyDescent="0.2">
      <c r="A772" s="27" t="s">
        <v>1425</v>
      </c>
      <c r="B772" s="27"/>
      <c r="C772" s="27" t="s">
        <v>1426</v>
      </c>
      <c r="D772" s="31">
        <v>4.1500000000000004</v>
      </c>
      <c r="E772" s="30">
        <v>83445</v>
      </c>
      <c r="F772" s="31"/>
      <c r="G772" s="31">
        <f t="shared" ref="G772:G786" si="181">1.22</f>
        <v>1.22</v>
      </c>
      <c r="H772" s="31">
        <v>1.35</v>
      </c>
      <c r="I772" s="31">
        <v>1.3</v>
      </c>
      <c r="J772" s="31"/>
      <c r="K772" s="30">
        <f t="shared" si="180"/>
        <v>178664.08950000003</v>
      </c>
      <c r="L772" s="30">
        <f t="shared" ref="L772:L786" si="182">K772+L771</f>
        <v>915480.68949999998</v>
      </c>
    </row>
    <row r="773" spans="1:12" ht="30" customHeight="1" x14ac:dyDescent="0.2">
      <c r="A773" s="27" t="s">
        <v>1425</v>
      </c>
      <c r="B773" s="27"/>
      <c r="C773" s="27" t="s">
        <v>1427</v>
      </c>
      <c r="D773" s="31">
        <f t="shared" ref="D773:D786" si="183">D772+1.3</f>
        <v>5.45</v>
      </c>
      <c r="E773" s="30">
        <v>83445</v>
      </c>
      <c r="F773" s="31"/>
      <c r="G773" s="31">
        <f t="shared" si="181"/>
        <v>1.22</v>
      </c>
      <c r="H773" s="31">
        <v>1.35</v>
      </c>
      <c r="I773" s="31">
        <v>1.3</v>
      </c>
      <c r="J773" s="31"/>
      <c r="K773" s="30">
        <f t="shared" si="180"/>
        <v>178664.08950000003</v>
      </c>
      <c r="L773" s="30">
        <f t="shared" si="182"/>
        <v>1094144.7790000001</v>
      </c>
    </row>
    <row r="774" spans="1:12" ht="30" customHeight="1" x14ac:dyDescent="0.2">
      <c r="A774" s="27" t="s">
        <v>1425</v>
      </c>
      <c r="B774" s="27"/>
      <c r="C774" s="27" t="s">
        <v>1428</v>
      </c>
      <c r="D774" s="31">
        <f t="shared" si="183"/>
        <v>6.75</v>
      </c>
      <c r="E774" s="30">
        <v>83445</v>
      </c>
      <c r="F774" s="31"/>
      <c r="G774" s="31">
        <f t="shared" si="181"/>
        <v>1.22</v>
      </c>
      <c r="H774" s="31">
        <v>1.35</v>
      </c>
      <c r="I774" s="31">
        <v>1.3</v>
      </c>
      <c r="J774" s="31"/>
      <c r="K774" s="30">
        <f t="shared" si="180"/>
        <v>178664.08950000003</v>
      </c>
      <c r="L774" s="30">
        <f t="shared" si="182"/>
        <v>1272808.8685000001</v>
      </c>
    </row>
    <row r="775" spans="1:12" ht="30" customHeight="1" x14ac:dyDescent="0.2">
      <c r="A775" s="27" t="s">
        <v>1425</v>
      </c>
      <c r="B775" s="27"/>
      <c r="C775" s="27" t="s">
        <v>1429</v>
      </c>
      <c r="D775" s="31">
        <f t="shared" si="183"/>
        <v>8.0500000000000007</v>
      </c>
      <c r="E775" s="30">
        <v>83445</v>
      </c>
      <c r="F775" s="31"/>
      <c r="G775" s="31">
        <f t="shared" si="181"/>
        <v>1.22</v>
      </c>
      <c r="H775" s="31">
        <v>1.35</v>
      </c>
      <c r="I775" s="31">
        <v>1.3</v>
      </c>
      <c r="J775" s="31"/>
      <c r="K775" s="30">
        <f t="shared" si="180"/>
        <v>178664.08950000003</v>
      </c>
      <c r="L775" s="30">
        <f t="shared" si="182"/>
        <v>1451472.9580000001</v>
      </c>
    </row>
    <row r="776" spans="1:12" ht="30" customHeight="1" x14ac:dyDescent="0.2">
      <c r="A776" s="27" t="s">
        <v>1425</v>
      </c>
      <c r="B776" s="27"/>
      <c r="C776" s="27" t="s">
        <v>1430</v>
      </c>
      <c r="D776" s="31">
        <f t="shared" si="183"/>
        <v>9.3500000000000014</v>
      </c>
      <c r="E776" s="30">
        <v>83445</v>
      </c>
      <c r="F776" s="31"/>
      <c r="G776" s="31">
        <f t="shared" si="181"/>
        <v>1.22</v>
      </c>
      <c r="H776" s="31">
        <v>1.35</v>
      </c>
      <c r="I776" s="31">
        <v>1.3</v>
      </c>
      <c r="J776" s="31"/>
      <c r="K776" s="30">
        <f t="shared" si="180"/>
        <v>178664.08950000003</v>
      </c>
      <c r="L776" s="30">
        <f t="shared" si="182"/>
        <v>1630137.0475000001</v>
      </c>
    </row>
    <row r="777" spans="1:12" ht="30" customHeight="1" x14ac:dyDescent="0.2">
      <c r="A777" s="27" t="s">
        <v>1425</v>
      </c>
      <c r="B777" s="27"/>
      <c r="C777" s="27" t="s">
        <v>1431</v>
      </c>
      <c r="D777" s="31">
        <f t="shared" si="183"/>
        <v>10.650000000000002</v>
      </c>
      <c r="E777" s="30">
        <v>83445</v>
      </c>
      <c r="F777" s="31"/>
      <c r="G777" s="31">
        <f t="shared" si="181"/>
        <v>1.22</v>
      </c>
      <c r="H777" s="31">
        <v>1.35</v>
      </c>
      <c r="I777" s="31">
        <v>1.3</v>
      </c>
      <c r="J777" s="31"/>
      <c r="K777" s="30">
        <f t="shared" si="180"/>
        <v>178664.08950000003</v>
      </c>
      <c r="L777" s="30">
        <f t="shared" si="182"/>
        <v>1808801.1370000001</v>
      </c>
    </row>
    <row r="778" spans="1:12" ht="30" customHeight="1" x14ac:dyDescent="0.2">
      <c r="A778" s="27" t="s">
        <v>1425</v>
      </c>
      <c r="B778" s="27"/>
      <c r="C778" s="27" t="s">
        <v>1432</v>
      </c>
      <c r="D778" s="31">
        <f t="shared" si="183"/>
        <v>11.950000000000003</v>
      </c>
      <c r="E778" s="30">
        <v>83445</v>
      </c>
      <c r="F778" s="31"/>
      <c r="G778" s="31">
        <f t="shared" si="181"/>
        <v>1.22</v>
      </c>
      <c r="H778" s="31">
        <v>1.35</v>
      </c>
      <c r="I778" s="31">
        <v>1.3</v>
      </c>
      <c r="J778" s="31"/>
      <c r="K778" s="30">
        <f t="shared" si="180"/>
        <v>178664.08950000003</v>
      </c>
      <c r="L778" s="30">
        <f t="shared" si="182"/>
        <v>1987465.2265000001</v>
      </c>
    </row>
    <row r="779" spans="1:12" ht="30" customHeight="1" x14ac:dyDescent="0.2">
      <c r="A779" s="27" t="s">
        <v>1425</v>
      </c>
      <c r="B779" s="27"/>
      <c r="C779" s="27" t="s">
        <v>1433</v>
      </c>
      <c r="D779" s="31">
        <f t="shared" si="183"/>
        <v>13.250000000000004</v>
      </c>
      <c r="E779" s="30">
        <v>83445</v>
      </c>
      <c r="F779" s="31"/>
      <c r="G779" s="31">
        <f t="shared" si="181"/>
        <v>1.22</v>
      </c>
      <c r="H779" s="31">
        <v>1.35</v>
      </c>
      <c r="I779" s="31">
        <v>1.3</v>
      </c>
      <c r="J779" s="31"/>
      <c r="K779" s="30">
        <f t="shared" si="180"/>
        <v>178664.08950000003</v>
      </c>
      <c r="L779" s="30">
        <f t="shared" si="182"/>
        <v>2166129.3160000001</v>
      </c>
    </row>
    <row r="780" spans="1:12" ht="30" customHeight="1" x14ac:dyDescent="0.2">
      <c r="A780" s="27" t="s">
        <v>1425</v>
      </c>
      <c r="B780" s="27"/>
      <c r="C780" s="27" t="s">
        <v>1434</v>
      </c>
      <c r="D780" s="31">
        <f t="shared" si="183"/>
        <v>14.550000000000004</v>
      </c>
      <c r="E780" s="30">
        <v>83445</v>
      </c>
      <c r="F780" s="31"/>
      <c r="G780" s="31">
        <f t="shared" si="181"/>
        <v>1.22</v>
      </c>
      <c r="H780" s="31">
        <v>1.35</v>
      </c>
      <c r="I780" s="31">
        <v>1.3</v>
      </c>
      <c r="J780" s="31"/>
      <c r="K780" s="30">
        <f t="shared" si="180"/>
        <v>178664.08950000003</v>
      </c>
      <c r="L780" s="30">
        <f t="shared" si="182"/>
        <v>2344793.4055000003</v>
      </c>
    </row>
    <row r="781" spans="1:12" ht="30" customHeight="1" x14ac:dyDescent="0.2">
      <c r="A781" s="27" t="s">
        <v>1425</v>
      </c>
      <c r="B781" s="27"/>
      <c r="C781" s="27" t="s">
        <v>1435</v>
      </c>
      <c r="D781" s="31">
        <f t="shared" si="183"/>
        <v>15.850000000000005</v>
      </c>
      <c r="E781" s="30">
        <v>83445</v>
      </c>
      <c r="F781" s="31"/>
      <c r="G781" s="31">
        <f t="shared" si="181"/>
        <v>1.22</v>
      </c>
      <c r="H781" s="31">
        <v>1.35</v>
      </c>
      <c r="I781" s="31">
        <v>1.3</v>
      </c>
      <c r="J781" s="31"/>
      <c r="K781" s="30">
        <f t="shared" si="180"/>
        <v>178664.08950000003</v>
      </c>
      <c r="L781" s="30">
        <f t="shared" si="182"/>
        <v>2523457.4950000006</v>
      </c>
    </row>
    <row r="782" spans="1:12" ht="30" customHeight="1" x14ac:dyDescent="0.2">
      <c r="A782" s="27" t="s">
        <v>1425</v>
      </c>
      <c r="B782" s="27"/>
      <c r="C782" s="27" t="s">
        <v>1436</v>
      </c>
      <c r="D782" s="31">
        <f t="shared" si="183"/>
        <v>17.150000000000006</v>
      </c>
      <c r="E782" s="30">
        <v>83445</v>
      </c>
      <c r="F782" s="31"/>
      <c r="G782" s="31">
        <f t="shared" si="181"/>
        <v>1.22</v>
      </c>
      <c r="H782" s="31">
        <v>1.35</v>
      </c>
      <c r="I782" s="31">
        <v>1.3</v>
      </c>
      <c r="J782" s="31"/>
      <c r="K782" s="30">
        <f t="shared" si="180"/>
        <v>178664.08950000003</v>
      </c>
      <c r="L782" s="30">
        <f t="shared" si="182"/>
        <v>2702121.5845000008</v>
      </c>
    </row>
    <row r="783" spans="1:12" ht="30" customHeight="1" x14ac:dyDescent="0.2">
      <c r="A783" s="27" t="s">
        <v>1425</v>
      </c>
      <c r="B783" s="27"/>
      <c r="C783" s="27" t="s">
        <v>1437</v>
      </c>
      <c r="D783" s="31">
        <f t="shared" si="183"/>
        <v>18.450000000000006</v>
      </c>
      <c r="E783" s="30">
        <v>83445</v>
      </c>
      <c r="F783" s="31"/>
      <c r="G783" s="31">
        <f t="shared" si="181"/>
        <v>1.22</v>
      </c>
      <c r="H783" s="31">
        <v>1.35</v>
      </c>
      <c r="I783" s="31">
        <v>1.3</v>
      </c>
      <c r="J783" s="31"/>
      <c r="K783" s="30">
        <f t="shared" si="180"/>
        <v>178664.08950000003</v>
      </c>
      <c r="L783" s="30">
        <f t="shared" si="182"/>
        <v>2880785.674000001</v>
      </c>
    </row>
    <row r="784" spans="1:12" ht="30" customHeight="1" x14ac:dyDescent="0.2">
      <c r="A784" s="27" t="s">
        <v>1425</v>
      </c>
      <c r="B784" s="27"/>
      <c r="C784" s="27" t="s">
        <v>1438</v>
      </c>
      <c r="D784" s="31">
        <f t="shared" si="183"/>
        <v>19.750000000000007</v>
      </c>
      <c r="E784" s="30">
        <v>83445</v>
      </c>
      <c r="F784" s="31"/>
      <c r="G784" s="31">
        <f t="shared" si="181"/>
        <v>1.22</v>
      </c>
      <c r="H784" s="31">
        <v>1.35</v>
      </c>
      <c r="I784" s="31">
        <v>1.3</v>
      </c>
      <c r="J784" s="31"/>
      <c r="K784" s="30">
        <f t="shared" si="180"/>
        <v>178664.08950000003</v>
      </c>
      <c r="L784" s="30">
        <f t="shared" si="182"/>
        <v>3059449.7635000013</v>
      </c>
    </row>
    <row r="785" spans="1:12" ht="30" customHeight="1" x14ac:dyDescent="0.2">
      <c r="A785" s="27" t="s">
        <v>1425</v>
      </c>
      <c r="B785" s="27"/>
      <c r="C785" s="27" t="s">
        <v>1439</v>
      </c>
      <c r="D785" s="31">
        <f t="shared" si="183"/>
        <v>21.050000000000008</v>
      </c>
      <c r="E785" s="30">
        <v>83445</v>
      </c>
      <c r="F785" s="31"/>
      <c r="G785" s="31">
        <f t="shared" si="181"/>
        <v>1.22</v>
      </c>
      <c r="H785" s="31">
        <v>1.35</v>
      </c>
      <c r="I785" s="31">
        <v>1.3</v>
      </c>
      <c r="J785" s="31"/>
      <c r="K785" s="30">
        <f t="shared" si="180"/>
        <v>178664.08950000003</v>
      </c>
      <c r="L785" s="30">
        <f t="shared" si="182"/>
        <v>3238113.8530000015</v>
      </c>
    </row>
    <row r="786" spans="1:12" ht="30" customHeight="1" x14ac:dyDescent="0.2">
      <c r="A786" s="27" t="s">
        <v>1425</v>
      </c>
      <c r="B786" s="27"/>
      <c r="C786" s="27" t="s">
        <v>1440</v>
      </c>
      <c r="D786" s="31">
        <f t="shared" si="183"/>
        <v>22.350000000000009</v>
      </c>
      <c r="E786" s="30">
        <v>83445</v>
      </c>
      <c r="F786" s="31"/>
      <c r="G786" s="31">
        <f t="shared" si="181"/>
        <v>1.22</v>
      </c>
      <c r="H786" s="31">
        <v>1.35</v>
      </c>
      <c r="I786" s="31">
        <v>1.3</v>
      </c>
      <c r="J786" s="31"/>
      <c r="K786" s="30">
        <f t="shared" si="180"/>
        <v>178664.08950000003</v>
      </c>
      <c r="L786" s="65">
        <f t="shared" si="182"/>
        <v>3416777.9425000018</v>
      </c>
    </row>
    <row r="787" spans="1:12" ht="30" customHeight="1" x14ac:dyDescent="0.2">
      <c r="A787" s="27" t="s">
        <v>1441</v>
      </c>
      <c r="B787" s="27"/>
      <c r="C787" s="27" t="s">
        <v>936</v>
      </c>
      <c r="D787" s="31">
        <v>1.7</v>
      </c>
      <c r="E787" s="30">
        <v>566782</v>
      </c>
      <c r="F787" s="31"/>
      <c r="G787" s="31"/>
      <c r="H787" s="31"/>
      <c r="I787" s="31">
        <v>1.3</v>
      </c>
      <c r="J787" s="31"/>
      <c r="K787" s="30">
        <f t="shared" si="180"/>
        <v>736816.6</v>
      </c>
      <c r="L787" s="30">
        <f>K787</f>
        <v>736816.6</v>
      </c>
    </row>
    <row r="788" spans="1:12" ht="30" customHeight="1" x14ac:dyDescent="0.2">
      <c r="A788" s="27" t="s">
        <v>1441</v>
      </c>
      <c r="B788" s="27"/>
      <c r="C788" s="27" t="s">
        <v>1442</v>
      </c>
      <c r="D788" s="31">
        <f>D787+5.566</f>
        <v>7.266</v>
      </c>
      <c r="E788" s="27">
        <v>423469</v>
      </c>
      <c r="F788" s="31"/>
      <c r="G788" s="31">
        <f>1.1</f>
        <v>1.1000000000000001</v>
      </c>
      <c r="H788" s="31">
        <v>1.35</v>
      </c>
      <c r="I788" s="31">
        <v>1.3</v>
      </c>
      <c r="J788" s="31"/>
      <c r="K788" s="30">
        <f t="shared" si="180"/>
        <v>817506.90450000018</v>
      </c>
      <c r="L788" s="30">
        <f t="shared" ref="L788:L815" si="184">L787+K788</f>
        <v>1554323.5045000003</v>
      </c>
    </row>
    <row r="789" spans="1:12" ht="30" customHeight="1" x14ac:dyDescent="0.2">
      <c r="A789" s="27" t="s">
        <v>1441</v>
      </c>
      <c r="B789" s="27"/>
      <c r="C789" s="27" t="s">
        <v>1443</v>
      </c>
      <c r="D789" s="31">
        <f>D788+2.183</f>
        <v>9.4489999999999998</v>
      </c>
      <c r="E789" s="30">
        <v>19500</v>
      </c>
      <c r="F789" s="31"/>
      <c r="G789" s="31">
        <f t="shared" ref="G789:G800" si="185">1.17</f>
        <v>1.17</v>
      </c>
      <c r="H789" s="31">
        <v>1.35</v>
      </c>
      <c r="I789" s="31">
        <v>1.3</v>
      </c>
      <c r="J789" s="31">
        <v>1.0777000000000001</v>
      </c>
      <c r="K789" s="30">
        <f t="shared" si="180"/>
        <v>43151.458252500008</v>
      </c>
      <c r="L789" s="30">
        <f t="shared" si="184"/>
        <v>1597474.9627525003</v>
      </c>
    </row>
    <row r="790" spans="1:12" ht="30" customHeight="1" x14ac:dyDescent="0.2">
      <c r="A790" s="27" t="s">
        <v>1441</v>
      </c>
      <c r="B790" s="27"/>
      <c r="C790" s="27" t="s">
        <v>955</v>
      </c>
      <c r="D790" s="31">
        <f>D789+1.083</f>
        <v>10.532</v>
      </c>
      <c r="E790" s="30">
        <v>95924</v>
      </c>
      <c r="F790" s="31">
        <v>1.2889999999999999</v>
      </c>
      <c r="G790" s="31">
        <f t="shared" si="185"/>
        <v>1.17</v>
      </c>
      <c r="H790" s="31">
        <v>1.35</v>
      </c>
      <c r="I790" s="31">
        <v>1.3</v>
      </c>
      <c r="J790" s="31">
        <v>1.0777000000000001</v>
      </c>
      <c r="K790" s="30">
        <f t="shared" si="180"/>
        <v>273615.73130980064</v>
      </c>
      <c r="L790" s="30">
        <f t="shared" si="184"/>
        <v>1871090.694062301</v>
      </c>
    </row>
    <row r="791" spans="1:12" ht="30" customHeight="1" x14ac:dyDescent="0.2">
      <c r="A791" s="27" t="s">
        <v>1441</v>
      </c>
      <c r="B791" s="27"/>
      <c r="C791" s="27" t="s">
        <v>956</v>
      </c>
      <c r="D791" s="31">
        <f>D790+1.183</f>
        <v>11.715</v>
      </c>
      <c r="E791" s="30">
        <v>95924</v>
      </c>
      <c r="F791" s="31">
        <v>1.2889999999999999</v>
      </c>
      <c r="G791" s="31">
        <f t="shared" si="185"/>
        <v>1.17</v>
      </c>
      <c r="H791" s="31">
        <v>1.35</v>
      </c>
      <c r="I791" s="31">
        <v>1.3</v>
      </c>
      <c r="J791" s="31">
        <v>1.0777000000000001</v>
      </c>
      <c r="K791" s="30">
        <f t="shared" si="180"/>
        <v>273615.73130980064</v>
      </c>
      <c r="L791" s="30">
        <f t="shared" si="184"/>
        <v>2144706.4253721014</v>
      </c>
    </row>
    <row r="792" spans="1:12" ht="30" customHeight="1" x14ac:dyDescent="0.2">
      <c r="A792" s="27" t="s">
        <v>1441</v>
      </c>
      <c r="B792" s="27"/>
      <c r="C792" s="27" t="s">
        <v>957</v>
      </c>
      <c r="D792" s="31">
        <f>D791+1.317</f>
        <v>13.032</v>
      </c>
      <c r="E792" s="30">
        <v>95924</v>
      </c>
      <c r="F792" s="31">
        <v>1.2889999999999999</v>
      </c>
      <c r="G792" s="31">
        <f t="shared" si="185"/>
        <v>1.17</v>
      </c>
      <c r="H792" s="31">
        <v>1.35</v>
      </c>
      <c r="I792" s="31">
        <v>1.3</v>
      </c>
      <c r="J792" s="31">
        <v>1.0777000000000001</v>
      </c>
      <c r="K792" s="30">
        <f t="shared" si="180"/>
        <v>273615.73130980064</v>
      </c>
      <c r="L792" s="30">
        <f t="shared" si="184"/>
        <v>2418322.1566819018</v>
      </c>
    </row>
    <row r="793" spans="1:12" ht="30" customHeight="1" x14ac:dyDescent="0.2">
      <c r="A793" s="27" t="s">
        <v>1441</v>
      </c>
      <c r="B793" s="27"/>
      <c r="C793" s="27" t="s">
        <v>1444</v>
      </c>
      <c r="D793" s="31">
        <f>D792+0.133</f>
        <v>13.164999999999999</v>
      </c>
      <c r="E793" s="30">
        <v>19500</v>
      </c>
      <c r="F793" s="31"/>
      <c r="G793" s="31">
        <f t="shared" si="185"/>
        <v>1.17</v>
      </c>
      <c r="H793" s="31">
        <v>1.35</v>
      </c>
      <c r="I793" s="31">
        <v>1.3</v>
      </c>
      <c r="J793" s="31">
        <v>1.0777000000000001</v>
      </c>
      <c r="K793" s="30">
        <f t="shared" si="180"/>
        <v>43151.458252500008</v>
      </c>
      <c r="L793" s="30">
        <f t="shared" si="184"/>
        <v>2461473.6149344016</v>
      </c>
    </row>
    <row r="794" spans="1:12" ht="30" customHeight="1" x14ac:dyDescent="0.2">
      <c r="A794" s="27" t="s">
        <v>1441</v>
      </c>
      <c r="B794" s="27"/>
      <c r="C794" s="27" t="s">
        <v>1445</v>
      </c>
      <c r="D794" s="31">
        <f t="shared" ref="D794:D799" si="186">D793+0.26</f>
        <v>13.424999999999999</v>
      </c>
      <c r="E794" s="30">
        <v>19500</v>
      </c>
      <c r="F794" s="31"/>
      <c r="G794" s="31">
        <f t="shared" si="185"/>
        <v>1.17</v>
      </c>
      <c r="H794" s="31">
        <v>1.35</v>
      </c>
      <c r="I794" s="31">
        <v>1.3</v>
      </c>
      <c r="J794" s="31">
        <v>1.0777000000000001</v>
      </c>
      <c r="K794" s="30">
        <f t="shared" si="180"/>
        <v>43151.458252500008</v>
      </c>
      <c r="L794" s="30">
        <f t="shared" si="184"/>
        <v>2504625.0731869014</v>
      </c>
    </row>
    <row r="795" spans="1:12" ht="30" customHeight="1" x14ac:dyDescent="0.2">
      <c r="A795" s="27" t="s">
        <v>1441</v>
      </c>
      <c r="B795" s="27"/>
      <c r="C795" s="27" t="s">
        <v>1446</v>
      </c>
      <c r="D795" s="31">
        <f t="shared" si="186"/>
        <v>13.684999999999999</v>
      </c>
      <c r="E795" s="30">
        <v>19500</v>
      </c>
      <c r="F795" s="31"/>
      <c r="G795" s="31">
        <f t="shared" si="185"/>
        <v>1.17</v>
      </c>
      <c r="H795" s="31">
        <v>1.35</v>
      </c>
      <c r="I795" s="31">
        <v>1.3</v>
      </c>
      <c r="J795" s="31">
        <v>1.0777000000000001</v>
      </c>
      <c r="K795" s="30">
        <f t="shared" si="180"/>
        <v>43151.458252500008</v>
      </c>
      <c r="L795" s="30">
        <f t="shared" si="184"/>
        <v>2547776.5314394012</v>
      </c>
    </row>
    <row r="796" spans="1:12" ht="30" customHeight="1" x14ac:dyDescent="0.2">
      <c r="A796" s="27" t="s">
        <v>1441</v>
      </c>
      <c r="B796" s="27"/>
      <c r="C796" s="27" t="s">
        <v>1447</v>
      </c>
      <c r="D796" s="31">
        <f t="shared" si="186"/>
        <v>13.944999999999999</v>
      </c>
      <c r="E796" s="30">
        <v>19500</v>
      </c>
      <c r="F796" s="31"/>
      <c r="G796" s="31">
        <f t="shared" si="185"/>
        <v>1.17</v>
      </c>
      <c r="H796" s="31">
        <v>1.35</v>
      </c>
      <c r="I796" s="31">
        <v>1.3</v>
      </c>
      <c r="J796" s="31">
        <v>1.0777000000000001</v>
      </c>
      <c r="K796" s="30">
        <f t="shared" si="180"/>
        <v>43151.458252500008</v>
      </c>
      <c r="L796" s="30">
        <f t="shared" si="184"/>
        <v>2590927.989691901</v>
      </c>
    </row>
    <row r="797" spans="1:12" ht="30" customHeight="1" x14ac:dyDescent="0.2">
      <c r="A797" s="27" t="s">
        <v>1441</v>
      </c>
      <c r="B797" s="27"/>
      <c r="C797" s="27" t="s">
        <v>1448</v>
      </c>
      <c r="D797" s="31">
        <f t="shared" si="186"/>
        <v>14.204999999999998</v>
      </c>
      <c r="E797" s="30">
        <v>19500</v>
      </c>
      <c r="F797" s="31"/>
      <c r="G797" s="31">
        <f t="shared" si="185"/>
        <v>1.17</v>
      </c>
      <c r="H797" s="31">
        <v>1.35</v>
      </c>
      <c r="I797" s="31">
        <v>1.3</v>
      </c>
      <c r="J797" s="31">
        <v>1.0777000000000001</v>
      </c>
      <c r="K797" s="30">
        <f t="shared" si="180"/>
        <v>43151.458252500008</v>
      </c>
      <c r="L797" s="30">
        <f t="shared" si="184"/>
        <v>2634079.4479444008</v>
      </c>
    </row>
    <row r="798" spans="1:12" ht="30" customHeight="1" x14ac:dyDescent="0.2">
      <c r="A798" s="27" t="s">
        <v>1441</v>
      </c>
      <c r="B798" s="27"/>
      <c r="C798" s="27" t="s">
        <v>1449</v>
      </c>
      <c r="D798" s="31">
        <f t="shared" si="186"/>
        <v>14.464999999999998</v>
      </c>
      <c r="E798" s="30">
        <v>19500</v>
      </c>
      <c r="F798" s="31"/>
      <c r="G798" s="31">
        <f t="shared" si="185"/>
        <v>1.17</v>
      </c>
      <c r="H798" s="31">
        <v>1.35</v>
      </c>
      <c r="I798" s="31">
        <v>1.3</v>
      </c>
      <c r="J798" s="31">
        <v>1.0777000000000001</v>
      </c>
      <c r="K798" s="30">
        <f t="shared" si="180"/>
        <v>43151.458252500008</v>
      </c>
      <c r="L798" s="30">
        <f t="shared" si="184"/>
        <v>2677230.9061969006</v>
      </c>
    </row>
    <row r="799" spans="1:12" ht="30" customHeight="1" x14ac:dyDescent="0.2">
      <c r="A799" s="27" t="s">
        <v>1441</v>
      </c>
      <c r="B799" s="27"/>
      <c r="C799" s="27" t="s">
        <v>1450</v>
      </c>
      <c r="D799" s="31">
        <f t="shared" si="186"/>
        <v>14.724999999999998</v>
      </c>
      <c r="E799" s="30">
        <v>19500</v>
      </c>
      <c r="F799" s="31"/>
      <c r="G799" s="31">
        <f t="shared" si="185"/>
        <v>1.17</v>
      </c>
      <c r="H799" s="31">
        <v>1.35</v>
      </c>
      <c r="I799" s="31">
        <v>1.3</v>
      </c>
      <c r="J799" s="31">
        <v>1.0777000000000001</v>
      </c>
      <c r="K799" s="30">
        <f t="shared" si="180"/>
        <v>43151.458252500008</v>
      </c>
      <c r="L799" s="30">
        <f t="shared" si="184"/>
        <v>2720382.3644494005</v>
      </c>
    </row>
    <row r="800" spans="1:12" ht="30" customHeight="1" x14ac:dyDescent="0.2">
      <c r="A800" s="27" t="s">
        <v>1441</v>
      </c>
      <c r="B800" s="27"/>
      <c r="C800" s="27" t="s">
        <v>958</v>
      </c>
      <c r="D800" s="31">
        <f>D799+1.633</f>
        <v>16.357999999999997</v>
      </c>
      <c r="E800" s="30">
        <v>95924</v>
      </c>
      <c r="F800" s="31">
        <v>1.2889999999999999</v>
      </c>
      <c r="G800" s="31">
        <f t="shared" si="185"/>
        <v>1.17</v>
      </c>
      <c r="H800" s="31">
        <v>1.35</v>
      </c>
      <c r="I800" s="31">
        <v>1.3</v>
      </c>
      <c r="J800" s="31">
        <v>1.0777000000000001</v>
      </c>
      <c r="K800" s="30">
        <f t="shared" si="180"/>
        <v>273615.73130980064</v>
      </c>
      <c r="L800" s="30">
        <f t="shared" si="184"/>
        <v>2993998.0957592009</v>
      </c>
    </row>
    <row r="801" spans="1:12" ht="30" customHeight="1" x14ac:dyDescent="0.2">
      <c r="A801" s="27" t="s">
        <v>1441</v>
      </c>
      <c r="B801" s="27"/>
      <c r="C801" s="27" t="s">
        <v>1442</v>
      </c>
      <c r="D801" s="31">
        <f>D800+0.333+5.566</f>
        <v>22.256999999999994</v>
      </c>
      <c r="E801" s="27">
        <v>423469</v>
      </c>
      <c r="F801" s="31"/>
      <c r="G801" s="31">
        <f>1.1</f>
        <v>1.1000000000000001</v>
      </c>
      <c r="H801" s="31">
        <v>1.35</v>
      </c>
      <c r="I801" s="31">
        <v>1.3</v>
      </c>
      <c r="J801" s="31"/>
      <c r="K801" s="30">
        <f t="shared" si="180"/>
        <v>817506.90450000018</v>
      </c>
      <c r="L801" s="30">
        <f t="shared" si="184"/>
        <v>3811505.000259201</v>
      </c>
    </row>
    <row r="802" spans="1:12" ht="30" customHeight="1" x14ac:dyDescent="0.2">
      <c r="A802" s="27" t="s">
        <v>1441</v>
      </c>
      <c r="B802" s="27"/>
      <c r="C802" s="27" t="s">
        <v>1451</v>
      </c>
      <c r="D802" s="31">
        <f>D801+2.183</f>
        <v>24.439999999999994</v>
      </c>
      <c r="E802" s="30">
        <v>19500</v>
      </c>
      <c r="F802" s="31"/>
      <c r="G802" s="31">
        <f t="shared" ref="G802:G812" si="187">1.17</f>
        <v>1.17</v>
      </c>
      <c r="H802" s="31">
        <v>1.35</v>
      </c>
      <c r="I802" s="31">
        <v>1.3</v>
      </c>
      <c r="J802" s="31">
        <v>1.0777000000000001</v>
      </c>
      <c r="K802" s="30">
        <f t="shared" si="180"/>
        <v>43151.458252500008</v>
      </c>
      <c r="L802" s="30">
        <f t="shared" si="184"/>
        <v>3854656.4585117009</v>
      </c>
    </row>
    <row r="803" spans="1:12" ht="30" customHeight="1" x14ac:dyDescent="0.2">
      <c r="A803" s="27" t="s">
        <v>1441</v>
      </c>
      <c r="B803" s="27"/>
      <c r="C803" s="27" t="s">
        <v>959</v>
      </c>
      <c r="D803" s="31">
        <f>D802+1.083</f>
        <v>25.522999999999993</v>
      </c>
      <c r="E803" s="30">
        <v>95924</v>
      </c>
      <c r="F803" s="31">
        <v>1.2889999999999999</v>
      </c>
      <c r="G803" s="31">
        <f t="shared" si="187"/>
        <v>1.17</v>
      </c>
      <c r="H803" s="31">
        <v>1.35</v>
      </c>
      <c r="I803" s="31">
        <v>1.3</v>
      </c>
      <c r="J803" s="31">
        <v>1.0777000000000001</v>
      </c>
      <c r="K803" s="30">
        <f t="shared" si="180"/>
        <v>273615.73130980064</v>
      </c>
      <c r="L803" s="30">
        <f t="shared" si="184"/>
        <v>4128272.1898215013</v>
      </c>
    </row>
    <row r="804" spans="1:12" ht="30" customHeight="1" x14ac:dyDescent="0.2">
      <c r="A804" s="27" t="s">
        <v>1441</v>
      </c>
      <c r="B804" s="27"/>
      <c r="C804" s="27" t="s">
        <v>960</v>
      </c>
      <c r="D804" s="31">
        <f>D803+1.183</f>
        <v>26.705999999999992</v>
      </c>
      <c r="E804" s="30">
        <v>95924</v>
      </c>
      <c r="F804" s="31">
        <v>1.2889999999999999</v>
      </c>
      <c r="G804" s="31">
        <f t="shared" si="187"/>
        <v>1.17</v>
      </c>
      <c r="H804" s="31">
        <v>1.35</v>
      </c>
      <c r="I804" s="31">
        <v>1.3</v>
      </c>
      <c r="J804" s="31">
        <v>1.0777000000000001</v>
      </c>
      <c r="K804" s="30">
        <f t="shared" si="180"/>
        <v>273615.73130980064</v>
      </c>
      <c r="L804" s="30">
        <f t="shared" si="184"/>
        <v>4401887.9211313017</v>
      </c>
    </row>
    <row r="805" spans="1:12" ht="30" customHeight="1" x14ac:dyDescent="0.2">
      <c r="A805" s="27" t="s">
        <v>1441</v>
      </c>
      <c r="B805" s="27"/>
      <c r="C805" s="27" t="s">
        <v>961</v>
      </c>
      <c r="D805" s="31">
        <f>D804+1.317</f>
        <v>28.022999999999993</v>
      </c>
      <c r="E805" s="30">
        <v>95924</v>
      </c>
      <c r="F805" s="31">
        <v>1.2889999999999999</v>
      </c>
      <c r="G805" s="31">
        <f t="shared" si="187"/>
        <v>1.17</v>
      </c>
      <c r="H805" s="31">
        <v>1.35</v>
      </c>
      <c r="I805" s="31">
        <v>1.3</v>
      </c>
      <c r="J805" s="31">
        <v>1.0777000000000001</v>
      </c>
      <c r="K805" s="30">
        <f t="shared" si="180"/>
        <v>273615.73130980064</v>
      </c>
      <c r="L805" s="30">
        <f t="shared" si="184"/>
        <v>4675503.6524411021</v>
      </c>
    </row>
    <row r="806" spans="1:12" ht="30" customHeight="1" x14ac:dyDescent="0.2">
      <c r="A806" s="27" t="s">
        <v>1441</v>
      </c>
      <c r="B806" s="27"/>
      <c r="C806" s="27" t="s">
        <v>1452</v>
      </c>
      <c r="D806" s="31">
        <f>D805+0.133</f>
        <v>28.155999999999992</v>
      </c>
      <c r="E806" s="30">
        <v>19500</v>
      </c>
      <c r="F806" s="31"/>
      <c r="G806" s="31">
        <f t="shared" si="187"/>
        <v>1.17</v>
      </c>
      <c r="H806" s="31">
        <v>1.35</v>
      </c>
      <c r="I806" s="31">
        <v>1.3</v>
      </c>
      <c r="J806" s="31">
        <v>1.0777000000000001</v>
      </c>
      <c r="K806" s="30">
        <f t="shared" si="180"/>
        <v>43151.458252500008</v>
      </c>
      <c r="L806" s="30">
        <f t="shared" si="184"/>
        <v>4718655.1106936019</v>
      </c>
    </row>
    <row r="807" spans="1:12" ht="30" customHeight="1" x14ac:dyDescent="0.2">
      <c r="A807" s="27" t="s">
        <v>1441</v>
      </c>
      <c r="B807" s="27"/>
      <c r="C807" s="27" t="s">
        <v>1453</v>
      </c>
      <c r="D807" s="31">
        <f t="shared" ref="D807:D811" si="188">D806+0.26</f>
        <v>28.415999999999993</v>
      </c>
      <c r="E807" s="30">
        <v>19500</v>
      </c>
      <c r="F807" s="31"/>
      <c r="G807" s="31">
        <f t="shared" si="187"/>
        <v>1.17</v>
      </c>
      <c r="H807" s="31">
        <v>1.35</v>
      </c>
      <c r="I807" s="31">
        <v>1.3</v>
      </c>
      <c r="J807" s="31">
        <v>1.0777000000000001</v>
      </c>
      <c r="K807" s="30">
        <f t="shared" si="180"/>
        <v>43151.458252500008</v>
      </c>
      <c r="L807" s="30">
        <f t="shared" si="184"/>
        <v>4761806.5689461017</v>
      </c>
    </row>
    <row r="808" spans="1:12" ht="30" customHeight="1" x14ac:dyDescent="0.2">
      <c r="A808" s="27" t="s">
        <v>1441</v>
      </c>
      <c r="B808" s="27"/>
      <c r="C808" s="27" t="s">
        <v>1454</v>
      </c>
      <c r="D808" s="31">
        <f t="shared" si="188"/>
        <v>28.675999999999995</v>
      </c>
      <c r="E808" s="30">
        <v>19500</v>
      </c>
      <c r="F808" s="31"/>
      <c r="G808" s="31">
        <f t="shared" si="187"/>
        <v>1.17</v>
      </c>
      <c r="H808" s="31">
        <v>1.35</v>
      </c>
      <c r="I808" s="31">
        <v>1.3</v>
      </c>
      <c r="J808" s="31">
        <v>1.0777000000000001</v>
      </c>
      <c r="K808" s="30">
        <f t="shared" si="180"/>
        <v>43151.458252500008</v>
      </c>
      <c r="L808" s="30">
        <f t="shared" si="184"/>
        <v>4804958.0271986015</v>
      </c>
    </row>
    <row r="809" spans="1:12" ht="30" customHeight="1" x14ac:dyDescent="0.2">
      <c r="A809" s="27" t="s">
        <v>1441</v>
      </c>
      <c r="B809" s="27"/>
      <c r="C809" s="27" t="s">
        <v>1455</v>
      </c>
      <c r="D809" s="31">
        <f t="shared" si="188"/>
        <v>28.935999999999996</v>
      </c>
      <c r="E809" s="30">
        <v>19500</v>
      </c>
      <c r="F809" s="31"/>
      <c r="G809" s="31">
        <f t="shared" si="187"/>
        <v>1.17</v>
      </c>
      <c r="H809" s="31">
        <v>1.35</v>
      </c>
      <c r="I809" s="31">
        <v>1.3</v>
      </c>
      <c r="J809" s="31">
        <v>1.0777000000000001</v>
      </c>
      <c r="K809" s="30">
        <f t="shared" si="180"/>
        <v>43151.458252500008</v>
      </c>
      <c r="L809" s="30">
        <f t="shared" si="184"/>
        <v>4848109.4854511013</v>
      </c>
    </row>
    <row r="810" spans="1:12" ht="30" customHeight="1" x14ac:dyDescent="0.2">
      <c r="A810" s="27" t="s">
        <v>1441</v>
      </c>
      <c r="B810" s="27"/>
      <c r="C810" s="27" t="s">
        <v>1456</v>
      </c>
      <c r="D810" s="31">
        <f t="shared" si="188"/>
        <v>29.195999999999998</v>
      </c>
      <c r="E810" s="30">
        <v>19500</v>
      </c>
      <c r="F810" s="31"/>
      <c r="G810" s="31">
        <f t="shared" si="187"/>
        <v>1.17</v>
      </c>
      <c r="H810" s="31">
        <v>1.35</v>
      </c>
      <c r="I810" s="31">
        <v>1.3</v>
      </c>
      <c r="J810" s="31">
        <v>1.0777000000000001</v>
      </c>
      <c r="K810" s="30">
        <f t="shared" si="180"/>
        <v>43151.458252500008</v>
      </c>
      <c r="L810" s="30">
        <f t="shared" si="184"/>
        <v>4891260.9437036011</v>
      </c>
    </row>
    <row r="811" spans="1:12" ht="30" customHeight="1" x14ac:dyDescent="0.2">
      <c r="A811" s="27" t="s">
        <v>1441</v>
      </c>
      <c r="B811" s="27"/>
      <c r="C811" s="27" t="s">
        <v>1457</v>
      </c>
      <c r="D811" s="31">
        <f t="shared" si="188"/>
        <v>29.456</v>
      </c>
      <c r="E811" s="30">
        <v>19500</v>
      </c>
      <c r="F811" s="31"/>
      <c r="G811" s="31">
        <f t="shared" si="187"/>
        <v>1.17</v>
      </c>
      <c r="H811" s="31">
        <v>1.35</v>
      </c>
      <c r="I811" s="31">
        <v>1.3</v>
      </c>
      <c r="J811" s="31">
        <v>1.0777000000000001</v>
      </c>
      <c r="K811" s="30">
        <f t="shared" si="180"/>
        <v>43151.458252500008</v>
      </c>
      <c r="L811" s="30">
        <f t="shared" si="184"/>
        <v>4934412.4019561009</v>
      </c>
    </row>
    <row r="812" spans="1:12" ht="30" customHeight="1" x14ac:dyDescent="0.2">
      <c r="A812" s="27" t="s">
        <v>1441</v>
      </c>
      <c r="B812" s="27"/>
      <c r="C812" s="27" t="s">
        <v>962</v>
      </c>
      <c r="D812" s="31">
        <f>D811+1.633</f>
        <v>31.088999999999999</v>
      </c>
      <c r="E812" s="30">
        <v>95924</v>
      </c>
      <c r="F812" s="31">
        <v>1.2889999999999999</v>
      </c>
      <c r="G812" s="31">
        <f t="shared" si="187"/>
        <v>1.17</v>
      </c>
      <c r="H812" s="31">
        <v>1.35</v>
      </c>
      <c r="I812" s="31">
        <v>1.3</v>
      </c>
      <c r="J812" s="31">
        <v>1.0777000000000001</v>
      </c>
      <c r="K812" s="30">
        <f t="shared" si="180"/>
        <v>273615.73130980064</v>
      </c>
      <c r="L812" s="30">
        <f t="shared" si="184"/>
        <v>5208028.1332659014</v>
      </c>
    </row>
    <row r="813" spans="1:12" ht="30" customHeight="1" x14ac:dyDescent="0.2">
      <c r="A813" s="27" t="s">
        <v>1441</v>
      </c>
      <c r="B813" s="27"/>
      <c r="C813" s="27" t="s">
        <v>1442</v>
      </c>
      <c r="D813" s="31">
        <f>D812+0.333+5.566</f>
        <v>36.988</v>
      </c>
      <c r="E813" s="27">
        <v>423469</v>
      </c>
      <c r="F813" s="31"/>
      <c r="G813" s="31">
        <f>1.1</f>
        <v>1.1000000000000001</v>
      </c>
      <c r="H813" s="31">
        <v>1.35</v>
      </c>
      <c r="I813" s="31">
        <v>1.3</v>
      </c>
      <c r="J813" s="31"/>
      <c r="K813" s="30">
        <f t="shared" si="180"/>
        <v>817506.90450000018</v>
      </c>
      <c r="L813" s="30">
        <f t="shared" si="184"/>
        <v>6025535.0377659015</v>
      </c>
    </row>
    <row r="814" spans="1:12" ht="30" customHeight="1" x14ac:dyDescent="0.2">
      <c r="A814" s="27" t="s">
        <v>1441</v>
      </c>
      <c r="B814" s="27"/>
      <c r="C814" s="27" t="s">
        <v>1458</v>
      </c>
      <c r="D814" s="31">
        <f>D813+2.183</f>
        <v>39.170999999999999</v>
      </c>
      <c r="E814" s="30">
        <v>19500</v>
      </c>
      <c r="F814" s="31">
        <v>1.1499999999999999</v>
      </c>
      <c r="G814" s="31">
        <f t="shared" ref="G814:G815" si="189">1.17</f>
        <v>1.17</v>
      </c>
      <c r="H814" s="31">
        <v>1.35</v>
      </c>
      <c r="I814" s="31">
        <v>1.3</v>
      </c>
      <c r="J814" s="31">
        <v>1.0777000000000001</v>
      </c>
      <c r="K814" s="30">
        <f t="shared" si="180"/>
        <v>49624.17699037501</v>
      </c>
      <c r="L814" s="30">
        <f t="shared" si="184"/>
        <v>6075159.2147562765</v>
      </c>
    </row>
    <row r="815" spans="1:12" ht="30" customHeight="1" x14ac:dyDescent="0.2">
      <c r="A815" s="27" t="s">
        <v>1441</v>
      </c>
      <c r="B815" s="27"/>
      <c r="C815" s="27" t="s">
        <v>963</v>
      </c>
      <c r="D815" s="31">
        <f>D814+1.083</f>
        <v>40.253999999999998</v>
      </c>
      <c r="E815" s="30">
        <v>95924</v>
      </c>
      <c r="F815" s="31">
        <v>1.2889999999999999</v>
      </c>
      <c r="G815" s="31">
        <f t="shared" si="189"/>
        <v>1.17</v>
      </c>
      <c r="H815" s="31">
        <v>1.35</v>
      </c>
      <c r="I815" s="31">
        <v>1.3</v>
      </c>
      <c r="J815" s="31">
        <v>1.0777000000000001</v>
      </c>
      <c r="K815" s="30">
        <f t="shared" si="180"/>
        <v>273615.73130980064</v>
      </c>
      <c r="L815" s="65">
        <f t="shared" si="184"/>
        <v>6348774.9460660769</v>
      </c>
    </row>
    <row r="816" spans="1:12" ht="30" customHeight="1" x14ac:dyDescent="0.2">
      <c r="A816" s="27" t="s">
        <v>1459</v>
      </c>
      <c r="B816" s="27"/>
      <c r="C816" s="27" t="s">
        <v>1442</v>
      </c>
      <c r="D816" s="31">
        <v>5.532</v>
      </c>
      <c r="E816" s="27">
        <v>423469</v>
      </c>
      <c r="F816" s="31"/>
      <c r="G816" s="31"/>
      <c r="H816" s="31">
        <v>1.35</v>
      </c>
      <c r="I816" s="31">
        <v>1.3</v>
      </c>
      <c r="J816" s="31"/>
      <c r="K816" s="30">
        <f t="shared" si="180"/>
        <v>743188.09500000009</v>
      </c>
      <c r="L816" s="30">
        <f>K816</f>
        <v>743188.09500000009</v>
      </c>
    </row>
    <row r="817" spans="1:12" ht="30" customHeight="1" x14ac:dyDescent="0.2">
      <c r="A817" s="27" t="s">
        <v>1459</v>
      </c>
      <c r="B817" s="27"/>
      <c r="C817" s="27" t="s">
        <v>1443</v>
      </c>
      <c r="D817" s="31">
        <f>D816-0.116+0.216</f>
        <v>5.6320000000000006</v>
      </c>
      <c r="E817" s="30">
        <v>19500</v>
      </c>
      <c r="F817" s="31"/>
      <c r="G817" s="31">
        <v>1.22</v>
      </c>
      <c r="H817" s="31">
        <v>1.35</v>
      </c>
      <c r="I817" s="31">
        <v>1.3</v>
      </c>
      <c r="J817" s="31">
        <v>1.0780000000000001</v>
      </c>
      <c r="K817" s="30">
        <f t="shared" si="180"/>
        <v>45008.063100000007</v>
      </c>
      <c r="L817" s="30">
        <f t="shared" ref="L817:L843" si="190">K817+L816</f>
        <v>788196.15810000012</v>
      </c>
    </row>
    <row r="818" spans="1:12" ht="30" customHeight="1" x14ac:dyDescent="0.2">
      <c r="A818" s="27" t="s">
        <v>1459</v>
      </c>
      <c r="B818" s="27"/>
      <c r="C818" s="27" t="s">
        <v>955</v>
      </c>
      <c r="D818" s="31">
        <f>D817+0.316</f>
        <v>5.9480000000000004</v>
      </c>
      <c r="E818" s="30">
        <v>95924</v>
      </c>
      <c r="F818" s="31">
        <v>1.2889999999999999</v>
      </c>
      <c r="G818" s="31">
        <v>1.22</v>
      </c>
      <c r="H818" s="31">
        <v>1.35</v>
      </c>
      <c r="I818" s="31">
        <v>1.3</v>
      </c>
      <c r="J818" s="31">
        <v>1.0780000000000001</v>
      </c>
      <c r="K818" s="30">
        <f t="shared" si="180"/>
        <v>285388.13283860881</v>
      </c>
      <c r="L818" s="30">
        <f t="shared" si="190"/>
        <v>1073584.2909386088</v>
      </c>
    </row>
    <row r="819" spans="1:12" ht="30" customHeight="1" x14ac:dyDescent="0.2">
      <c r="A819" s="27" t="s">
        <v>1459</v>
      </c>
      <c r="B819" s="27"/>
      <c r="C819" s="27" t="s">
        <v>956</v>
      </c>
      <c r="D819" s="31">
        <f>D818+1.183</f>
        <v>7.1310000000000002</v>
      </c>
      <c r="E819" s="30">
        <v>95924</v>
      </c>
      <c r="F819" s="31">
        <v>1.2889999999999999</v>
      </c>
      <c r="G819" s="31">
        <v>1.22</v>
      </c>
      <c r="H819" s="31">
        <v>1.35</v>
      </c>
      <c r="I819" s="31">
        <v>1.3</v>
      </c>
      <c r="J819" s="31">
        <v>1.0780000000000001</v>
      </c>
      <c r="K819" s="30">
        <f t="shared" si="180"/>
        <v>285388.13283860881</v>
      </c>
      <c r="L819" s="30">
        <f t="shared" si="190"/>
        <v>1358972.4237772175</v>
      </c>
    </row>
    <row r="820" spans="1:12" ht="30" customHeight="1" x14ac:dyDescent="0.2">
      <c r="A820" s="27" t="s">
        <v>1459</v>
      </c>
      <c r="B820" s="27"/>
      <c r="C820" s="27" t="s">
        <v>1444</v>
      </c>
      <c r="D820" s="31">
        <f>D819+0.733</f>
        <v>7.8639999999999999</v>
      </c>
      <c r="E820" s="30">
        <v>19500</v>
      </c>
      <c r="F820" s="31"/>
      <c r="G820" s="31">
        <v>1.22</v>
      </c>
      <c r="H820" s="31">
        <v>1.35</v>
      </c>
      <c r="I820" s="31">
        <v>1.3</v>
      </c>
      <c r="J820" s="31">
        <v>1.0780000000000001</v>
      </c>
      <c r="K820" s="30">
        <f t="shared" si="180"/>
        <v>45008.063100000007</v>
      </c>
      <c r="L820" s="30">
        <f t="shared" si="190"/>
        <v>1403980.4868772174</v>
      </c>
    </row>
    <row r="821" spans="1:12" ht="30" customHeight="1" x14ac:dyDescent="0.2">
      <c r="A821" s="27" t="s">
        <v>1459</v>
      </c>
      <c r="B821" s="27"/>
      <c r="C821" s="27" t="s">
        <v>1445</v>
      </c>
      <c r="D821" s="31">
        <f t="shared" ref="D821:D827" si="191">D820+0.26</f>
        <v>8.1240000000000006</v>
      </c>
      <c r="E821" s="30">
        <v>19500</v>
      </c>
      <c r="F821" s="31"/>
      <c r="G821" s="31">
        <v>1.22</v>
      </c>
      <c r="H821" s="31">
        <v>1.35</v>
      </c>
      <c r="I821" s="31">
        <v>1.3</v>
      </c>
      <c r="J821" s="31">
        <v>1.0780000000000001</v>
      </c>
      <c r="K821" s="30">
        <f t="shared" si="180"/>
        <v>45008.063100000007</v>
      </c>
      <c r="L821" s="30">
        <f t="shared" si="190"/>
        <v>1448988.5499772173</v>
      </c>
    </row>
    <row r="822" spans="1:12" ht="30" customHeight="1" x14ac:dyDescent="0.2">
      <c r="A822" s="27" t="s">
        <v>1459</v>
      </c>
      <c r="B822" s="27"/>
      <c r="C822" s="27" t="s">
        <v>1446</v>
      </c>
      <c r="D822" s="31">
        <f t="shared" si="191"/>
        <v>8.3840000000000003</v>
      </c>
      <c r="E822" s="30">
        <v>19500</v>
      </c>
      <c r="F822" s="31"/>
      <c r="G822" s="31">
        <v>1.22</v>
      </c>
      <c r="H822" s="31">
        <v>1.35</v>
      </c>
      <c r="I822" s="31">
        <v>1.3</v>
      </c>
      <c r="J822" s="31">
        <v>1.0780000000000001</v>
      </c>
      <c r="K822" s="30">
        <f t="shared" si="180"/>
        <v>45008.063100000007</v>
      </c>
      <c r="L822" s="30">
        <f t="shared" si="190"/>
        <v>1493996.6130772172</v>
      </c>
    </row>
    <row r="823" spans="1:12" ht="30" customHeight="1" x14ac:dyDescent="0.2">
      <c r="A823" s="27" t="s">
        <v>1459</v>
      </c>
      <c r="B823" s="27"/>
      <c r="C823" s="27" t="s">
        <v>1447</v>
      </c>
      <c r="D823" s="31">
        <f t="shared" si="191"/>
        <v>8.6440000000000001</v>
      </c>
      <c r="E823" s="30">
        <v>19500</v>
      </c>
      <c r="F823" s="31"/>
      <c r="G823" s="31">
        <v>1.22</v>
      </c>
      <c r="H823" s="31">
        <v>1.35</v>
      </c>
      <c r="I823" s="31">
        <v>1.3</v>
      </c>
      <c r="J823" s="31">
        <v>1.0780000000000001</v>
      </c>
      <c r="K823" s="30">
        <f t="shared" si="180"/>
        <v>45008.063100000007</v>
      </c>
      <c r="L823" s="30">
        <f t="shared" si="190"/>
        <v>1539004.6761772172</v>
      </c>
    </row>
    <row r="824" spans="1:12" ht="30" customHeight="1" x14ac:dyDescent="0.2">
      <c r="A824" s="27" t="s">
        <v>1459</v>
      </c>
      <c r="B824" s="27"/>
      <c r="C824" s="27" t="s">
        <v>1448</v>
      </c>
      <c r="D824" s="31">
        <f t="shared" si="191"/>
        <v>8.9039999999999999</v>
      </c>
      <c r="E824" s="30">
        <v>19500</v>
      </c>
      <c r="F824" s="31"/>
      <c r="G824" s="31">
        <v>1.22</v>
      </c>
      <c r="H824" s="31">
        <v>1.35</v>
      </c>
      <c r="I824" s="31">
        <v>1.3</v>
      </c>
      <c r="J824" s="31">
        <v>1.0780000000000001</v>
      </c>
      <c r="K824" s="30">
        <f t="shared" si="180"/>
        <v>45008.063100000007</v>
      </c>
      <c r="L824" s="30">
        <f t="shared" si="190"/>
        <v>1584012.7392772171</v>
      </c>
    </row>
    <row r="825" spans="1:12" ht="30" customHeight="1" x14ac:dyDescent="0.2">
      <c r="A825" s="27" t="s">
        <v>1459</v>
      </c>
      <c r="B825" s="27"/>
      <c r="C825" s="27" t="s">
        <v>1449</v>
      </c>
      <c r="D825" s="31">
        <f t="shared" si="191"/>
        <v>9.1639999999999997</v>
      </c>
      <c r="E825" s="30">
        <v>19500</v>
      </c>
      <c r="F825" s="31"/>
      <c r="G825" s="31">
        <v>1.22</v>
      </c>
      <c r="H825" s="31">
        <v>1.35</v>
      </c>
      <c r="I825" s="31">
        <v>1.3</v>
      </c>
      <c r="J825" s="31">
        <v>1.0780000000000001</v>
      </c>
      <c r="K825" s="30">
        <f t="shared" si="180"/>
        <v>45008.063100000007</v>
      </c>
      <c r="L825" s="30">
        <f t="shared" si="190"/>
        <v>1629020.802377217</v>
      </c>
    </row>
    <row r="826" spans="1:12" ht="30" customHeight="1" x14ac:dyDescent="0.2">
      <c r="A826" s="27" t="s">
        <v>1459</v>
      </c>
      <c r="B826" s="27"/>
      <c r="C826" s="27" t="s">
        <v>1450</v>
      </c>
      <c r="D826" s="31">
        <f t="shared" si="191"/>
        <v>9.4239999999999995</v>
      </c>
      <c r="E826" s="30">
        <v>19500</v>
      </c>
      <c r="F826" s="31"/>
      <c r="G826" s="31">
        <v>1.22</v>
      </c>
      <c r="H826" s="31">
        <v>1.35</v>
      </c>
      <c r="I826" s="31">
        <v>1.3</v>
      </c>
      <c r="J826" s="31">
        <v>1.0780000000000001</v>
      </c>
      <c r="K826" s="30">
        <f t="shared" si="180"/>
        <v>45008.063100000007</v>
      </c>
      <c r="L826" s="30">
        <f t="shared" si="190"/>
        <v>1674028.8654772169</v>
      </c>
    </row>
    <row r="827" spans="1:12" ht="30" customHeight="1" x14ac:dyDescent="0.2">
      <c r="A827" s="27" t="s">
        <v>1459</v>
      </c>
      <c r="B827" s="27"/>
      <c r="C827" s="27" t="s">
        <v>1451</v>
      </c>
      <c r="D827" s="31">
        <f t="shared" si="191"/>
        <v>9.6839999999999993</v>
      </c>
      <c r="E827" s="30">
        <v>19500</v>
      </c>
      <c r="F827" s="31"/>
      <c r="G827" s="31">
        <v>1.22</v>
      </c>
      <c r="H827" s="31">
        <v>1.35</v>
      </c>
      <c r="I827" s="31">
        <v>1.3</v>
      </c>
      <c r="J827" s="31">
        <v>1.0780000000000001</v>
      </c>
      <c r="K827" s="30">
        <f t="shared" si="180"/>
        <v>45008.063100000007</v>
      </c>
      <c r="L827" s="30">
        <f t="shared" si="190"/>
        <v>1719036.9285772168</v>
      </c>
    </row>
    <row r="828" spans="1:12" ht="30" customHeight="1" x14ac:dyDescent="0.2">
      <c r="A828" s="27" t="s">
        <v>1459</v>
      </c>
      <c r="B828" s="27"/>
      <c r="C828" s="27" t="s">
        <v>957</v>
      </c>
      <c r="D828" s="31">
        <f>D827+0.316+0.183</f>
        <v>10.183</v>
      </c>
      <c r="E828" s="30">
        <v>95924</v>
      </c>
      <c r="F828" s="31">
        <v>1.2889999999999999</v>
      </c>
      <c r="G828" s="31">
        <v>1.22</v>
      </c>
      <c r="H828" s="31">
        <v>1.35</v>
      </c>
      <c r="I828" s="31">
        <v>1.3</v>
      </c>
      <c r="J828" s="31">
        <v>1.0780000000000001</v>
      </c>
      <c r="K828" s="30">
        <f t="shared" si="180"/>
        <v>285388.13283860881</v>
      </c>
      <c r="L828" s="30">
        <f t="shared" si="190"/>
        <v>2004425.0614158255</v>
      </c>
    </row>
    <row r="829" spans="1:12" ht="30" customHeight="1" x14ac:dyDescent="0.2">
      <c r="A829" s="27" t="s">
        <v>1459</v>
      </c>
      <c r="B829" s="27"/>
      <c r="C829" s="27" t="s">
        <v>958</v>
      </c>
      <c r="D829" s="31">
        <f>D828+1.183</f>
        <v>11.366</v>
      </c>
      <c r="E829" s="30">
        <v>95924</v>
      </c>
      <c r="F829" s="31">
        <v>1.2889999999999999</v>
      </c>
      <c r="G829" s="31">
        <v>1.22</v>
      </c>
      <c r="H829" s="31">
        <v>1.35</v>
      </c>
      <c r="I829" s="31">
        <v>1.3</v>
      </c>
      <c r="J829" s="31">
        <v>1.0780000000000001</v>
      </c>
      <c r="K829" s="30">
        <f t="shared" si="180"/>
        <v>285388.13283860881</v>
      </c>
      <c r="L829" s="30">
        <f t="shared" si="190"/>
        <v>2289813.1942544342</v>
      </c>
    </row>
    <row r="830" spans="1:12" ht="30" customHeight="1" x14ac:dyDescent="0.2">
      <c r="A830" s="27" t="s">
        <v>1459</v>
      </c>
      <c r="B830" s="27"/>
      <c r="C830" s="27" t="s">
        <v>959</v>
      </c>
      <c r="D830" s="31">
        <f>D829+1.433</f>
        <v>12.798999999999999</v>
      </c>
      <c r="E830" s="30">
        <v>95924</v>
      </c>
      <c r="F830" s="31">
        <v>1.2889999999999999</v>
      </c>
      <c r="G830" s="31">
        <v>1.22</v>
      </c>
      <c r="H830" s="31">
        <v>1.35</v>
      </c>
      <c r="I830" s="31">
        <v>1.3</v>
      </c>
      <c r="J830" s="31">
        <v>1.0780000000000001</v>
      </c>
      <c r="K830" s="30">
        <f t="shared" si="180"/>
        <v>285388.13283860881</v>
      </c>
      <c r="L830" s="30">
        <f t="shared" si="190"/>
        <v>2575201.3270930429</v>
      </c>
    </row>
    <row r="831" spans="1:12" ht="30" customHeight="1" x14ac:dyDescent="0.2">
      <c r="A831" s="27" t="s">
        <v>1459</v>
      </c>
      <c r="B831" s="27"/>
      <c r="C831" s="27" t="s">
        <v>960</v>
      </c>
      <c r="D831" s="31">
        <f>D830+1.183</f>
        <v>13.981999999999999</v>
      </c>
      <c r="E831" s="30">
        <v>95924</v>
      </c>
      <c r="F831" s="31">
        <v>1.2889999999999999</v>
      </c>
      <c r="G831" s="31">
        <v>1.22</v>
      </c>
      <c r="H831" s="31">
        <v>1.35</v>
      </c>
      <c r="I831" s="31">
        <v>1.3</v>
      </c>
      <c r="J831" s="31">
        <v>1.0780000000000001</v>
      </c>
      <c r="K831" s="30">
        <f t="shared" si="180"/>
        <v>285388.13283860881</v>
      </c>
      <c r="L831" s="30">
        <f t="shared" si="190"/>
        <v>2860589.4599316516</v>
      </c>
    </row>
    <row r="832" spans="1:12" ht="30" customHeight="1" x14ac:dyDescent="0.2">
      <c r="A832" s="27" t="s">
        <v>1459</v>
      </c>
      <c r="B832" s="27"/>
      <c r="C832" s="27" t="s">
        <v>1460</v>
      </c>
      <c r="D832" s="31">
        <f>D831+0.333+5.532</f>
        <v>19.847000000000001</v>
      </c>
      <c r="E832" s="27">
        <v>423469</v>
      </c>
      <c r="F832" s="31"/>
      <c r="G832" s="31"/>
      <c r="H832" s="31">
        <v>1.35</v>
      </c>
      <c r="I832" s="31">
        <v>1.3</v>
      </c>
      <c r="J832" s="31"/>
      <c r="K832" s="30">
        <f t="shared" si="180"/>
        <v>743188.09500000009</v>
      </c>
      <c r="L832" s="30">
        <f t="shared" si="190"/>
        <v>3603777.5549316518</v>
      </c>
    </row>
    <row r="833" spans="1:12" ht="30" customHeight="1" x14ac:dyDescent="0.2">
      <c r="A833" s="27" t="s">
        <v>1459</v>
      </c>
      <c r="B833" s="27"/>
      <c r="C833" s="27" t="s">
        <v>1452</v>
      </c>
      <c r="D833" s="31">
        <f>D832-0.116+0.216</f>
        <v>19.947000000000003</v>
      </c>
      <c r="E833" s="30">
        <v>19500</v>
      </c>
      <c r="F833" s="31"/>
      <c r="G833" s="31">
        <v>1.22</v>
      </c>
      <c r="H833" s="31">
        <v>1.35</v>
      </c>
      <c r="I833" s="31">
        <v>1.3</v>
      </c>
      <c r="J833" s="31">
        <v>1.0780000000000001</v>
      </c>
      <c r="K833" s="30">
        <f t="shared" si="180"/>
        <v>45008.063100000007</v>
      </c>
      <c r="L833" s="30">
        <f t="shared" si="190"/>
        <v>3648785.6180316517</v>
      </c>
    </row>
    <row r="834" spans="1:12" ht="30" customHeight="1" x14ac:dyDescent="0.2">
      <c r="A834" s="27" t="s">
        <v>1459</v>
      </c>
      <c r="B834" s="27"/>
      <c r="C834" s="27" t="s">
        <v>961</v>
      </c>
      <c r="D834" s="31">
        <f>D833+0.316</f>
        <v>20.263000000000002</v>
      </c>
      <c r="E834" s="30">
        <v>95924</v>
      </c>
      <c r="F834" s="31">
        <v>1.2889999999999999</v>
      </c>
      <c r="G834" s="31">
        <v>1.22</v>
      </c>
      <c r="H834" s="31">
        <v>1.35</v>
      </c>
      <c r="I834" s="31">
        <v>1.3</v>
      </c>
      <c r="J834" s="31">
        <v>1.0780000000000001</v>
      </c>
      <c r="K834" s="30">
        <f t="shared" si="180"/>
        <v>285388.13283860881</v>
      </c>
      <c r="L834" s="30">
        <f t="shared" si="190"/>
        <v>3934173.7508702604</v>
      </c>
    </row>
    <row r="835" spans="1:12" ht="30" customHeight="1" x14ac:dyDescent="0.2">
      <c r="A835" s="27" t="s">
        <v>1459</v>
      </c>
      <c r="B835" s="27"/>
      <c r="C835" s="27" t="s">
        <v>962</v>
      </c>
      <c r="D835" s="31">
        <f>D834+1.183</f>
        <v>21.446000000000002</v>
      </c>
      <c r="E835" s="30">
        <v>95924</v>
      </c>
      <c r="F835" s="31">
        <v>1.2889999999999999</v>
      </c>
      <c r="G835" s="31">
        <v>1.22</v>
      </c>
      <c r="H835" s="31">
        <v>1.35</v>
      </c>
      <c r="I835" s="31">
        <v>1.3</v>
      </c>
      <c r="J835" s="31">
        <v>1.0780000000000001</v>
      </c>
      <c r="K835" s="30">
        <f t="shared" si="180"/>
        <v>285388.13283860881</v>
      </c>
      <c r="L835" s="30">
        <f t="shared" si="190"/>
        <v>4219561.8837088691</v>
      </c>
    </row>
    <row r="836" spans="1:12" ht="30" customHeight="1" x14ac:dyDescent="0.2">
      <c r="A836" s="27" t="s">
        <v>1459</v>
      </c>
      <c r="B836" s="27"/>
      <c r="C836" s="27" t="s">
        <v>1453</v>
      </c>
      <c r="D836" s="31">
        <f>D835+0.733</f>
        <v>22.179000000000002</v>
      </c>
      <c r="E836" s="30">
        <v>19500</v>
      </c>
      <c r="F836" s="31"/>
      <c r="G836" s="31">
        <v>1.22</v>
      </c>
      <c r="H836" s="31">
        <v>1.35</v>
      </c>
      <c r="I836" s="31">
        <v>1.3</v>
      </c>
      <c r="J836" s="31">
        <v>1.0780000000000001</v>
      </c>
      <c r="K836" s="30">
        <f t="shared" si="180"/>
        <v>45008.063100000007</v>
      </c>
      <c r="L836" s="30">
        <f t="shared" si="190"/>
        <v>4264569.946808869</v>
      </c>
    </row>
    <row r="837" spans="1:12" ht="30" customHeight="1" x14ac:dyDescent="0.2">
      <c r="A837" s="27" t="s">
        <v>1459</v>
      </c>
      <c r="B837" s="27"/>
      <c r="C837" s="27" t="s">
        <v>1454</v>
      </c>
      <c r="D837" s="31">
        <f t="shared" ref="D837:D842" si="192">D836+0.26</f>
        <v>22.439000000000004</v>
      </c>
      <c r="E837" s="30">
        <v>19500</v>
      </c>
      <c r="F837" s="31"/>
      <c r="G837" s="31">
        <v>1.22</v>
      </c>
      <c r="H837" s="31">
        <v>1.35</v>
      </c>
      <c r="I837" s="31">
        <v>1.3</v>
      </c>
      <c r="J837" s="31">
        <v>1.0780000000000001</v>
      </c>
      <c r="K837" s="30">
        <f t="shared" si="180"/>
        <v>45008.063100000007</v>
      </c>
      <c r="L837" s="30">
        <f t="shared" si="190"/>
        <v>4309578.0099088689</v>
      </c>
    </row>
    <row r="838" spans="1:12" ht="30" customHeight="1" x14ac:dyDescent="0.2">
      <c r="A838" s="27" t="s">
        <v>1459</v>
      </c>
      <c r="B838" s="27"/>
      <c r="C838" s="27" t="s">
        <v>1455</v>
      </c>
      <c r="D838" s="31">
        <f t="shared" si="192"/>
        <v>22.699000000000005</v>
      </c>
      <c r="E838" s="30">
        <v>19500</v>
      </c>
      <c r="F838" s="31"/>
      <c r="G838" s="31">
        <v>1.22</v>
      </c>
      <c r="H838" s="31">
        <v>1.35</v>
      </c>
      <c r="I838" s="31">
        <v>1.3</v>
      </c>
      <c r="J838" s="31">
        <v>1.0780000000000001</v>
      </c>
      <c r="K838" s="30">
        <f t="shared" si="180"/>
        <v>45008.063100000007</v>
      </c>
      <c r="L838" s="30">
        <f t="shared" si="190"/>
        <v>4354586.0730088688</v>
      </c>
    </row>
    <row r="839" spans="1:12" ht="30" customHeight="1" x14ac:dyDescent="0.2">
      <c r="A839" s="27" t="s">
        <v>1459</v>
      </c>
      <c r="B839" s="27"/>
      <c r="C839" s="27" t="s">
        <v>1456</v>
      </c>
      <c r="D839" s="31">
        <f t="shared" si="192"/>
        <v>22.959000000000007</v>
      </c>
      <c r="E839" s="30">
        <v>19500</v>
      </c>
      <c r="F839" s="31"/>
      <c r="G839" s="31">
        <v>1.22</v>
      </c>
      <c r="H839" s="31">
        <v>1.35</v>
      </c>
      <c r="I839" s="31">
        <v>1.3</v>
      </c>
      <c r="J839" s="31">
        <v>1.0780000000000001</v>
      </c>
      <c r="K839" s="30">
        <f t="shared" si="180"/>
        <v>45008.063100000007</v>
      </c>
      <c r="L839" s="30">
        <f t="shared" si="190"/>
        <v>4399594.1361088688</v>
      </c>
    </row>
    <row r="840" spans="1:12" ht="30" customHeight="1" x14ac:dyDescent="0.2">
      <c r="A840" s="27" t="s">
        <v>1459</v>
      </c>
      <c r="B840" s="27"/>
      <c r="C840" s="27" t="s">
        <v>1457</v>
      </c>
      <c r="D840" s="31">
        <f t="shared" si="192"/>
        <v>23.219000000000008</v>
      </c>
      <c r="E840" s="30">
        <v>19500</v>
      </c>
      <c r="F840" s="31"/>
      <c r="G840" s="31">
        <v>1.22</v>
      </c>
      <c r="H840" s="31">
        <v>1.35</v>
      </c>
      <c r="I840" s="31">
        <v>1.3</v>
      </c>
      <c r="J840" s="31">
        <v>1.0780000000000001</v>
      </c>
      <c r="K840" s="30">
        <f t="shared" si="180"/>
        <v>45008.063100000007</v>
      </c>
      <c r="L840" s="30">
        <f t="shared" si="190"/>
        <v>4444602.1992088687</v>
      </c>
    </row>
    <row r="841" spans="1:12" ht="30" customHeight="1" x14ac:dyDescent="0.2">
      <c r="A841" s="27" t="s">
        <v>1459</v>
      </c>
      <c r="B841" s="27"/>
      <c r="C841" s="27" t="s">
        <v>1458</v>
      </c>
      <c r="D841" s="31">
        <f t="shared" si="192"/>
        <v>23.47900000000001</v>
      </c>
      <c r="E841" s="30">
        <v>19500</v>
      </c>
      <c r="F841" s="31"/>
      <c r="G841" s="31">
        <v>1.22</v>
      </c>
      <c r="H841" s="31">
        <v>1.35</v>
      </c>
      <c r="I841" s="31">
        <v>1.3</v>
      </c>
      <c r="J841" s="31">
        <v>1.0780000000000001</v>
      </c>
      <c r="K841" s="30">
        <f t="shared" si="180"/>
        <v>45008.063100000007</v>
      </c>
      <c r="L841" s="30">
        <f t="shared" si="190"/>
        <v>4489610.2623088686</v>
      </c>
    </row>
    <row r="842" spans="1:12" ht="30" customHeight="1" x14ac:dyDescent="0.2">
      <c r="A842" s="27" t="s">
        <v>1459</v>
      </c>
      <c r="B842" s="27"/>
      <c r="C842" s="27" t="s">
        <v>1461</v>
      </c>
      <c r="D842" s="31">
        <f t="shared" si="192"/>
        <v>23.739000000000011</v>
      </c>
      <c r="E842" s="30">
        <v>19500</v>
      </c>
      <c r="F842" s="31"/>
      <c r="G842" s="31">
        <v>1.22</v>
      </c>
      <c r="H842" s="31">
        <v>1.35</v>
      </c>
      <c r="I842" s="31">
        <v>1.3</v>
      </c>
      <c r="J842" s="31">
        <v>1.0780000000000001</v>
      </c>
      <c r="K842" s="30">
        <f t="shared" si="180"/>
        <v>45008.063100000007</v>
      </c>
      <c r="L842" s="30">
        <f t="shared" si="190"/>
        <v>4534618.3254088685</v>
      </c>
    </row>
    <row r="843" spans="1:12" ht="30" customHeight="1" x14ac:dyDescent="0.2">
      <c r="A843" s="27" t="s">
        <v>1459</v>
      </c>
      <c r="B843" s="27"/>
      <c r="C843" s="27" t="s">
        <v>963</v>
      </c>
      <c r="D843" s="31">
        <f>D842+0.316</f>
        <v>24.05500000000001</v>
      </c>
      <c r="E843" s="30">
        <v>95924</v>
      </c>
      <c r="F843" s="31">
        <v>1.2889999999999999</v>
      </c>
      <c r="G843" s="31">
        <v>1.22</v>
      </c>
      <c r="H843" s="31">
        <v>1.35</v>
      </c>
      <c r="I843" s="31">
        <v>1.3</v>
      </c>
      <c r="J843" s="31">
        <v>1.0780000000000001</v>
      </c>
      <c r="K843" s="30">
        <f t="shared" si="180"/>
        <v>285388.13283860881</v>
      </c>
      <c r="L843" s="65">
        <f t="shared" si="190"/>
        <v>4820006.4582474772</v>
      </c>
    </row>
    <row r="844" spans="1:12" ht="30" customHeight="1" x14ac:dyDescent="0.2">
      <c r="A844" s="27" t="s">
        <v>1462</v>
      </c>
      <c r="B844" s="27"/>
      <c r="C844" s="27" t="s">
        <v>936</v>
      </c>
      <c r="D844" s="31">
        <v>1.7</v>
      </c>
      <c r="E844" s="30">
        <v>566782</v>
      </c>
      <c r="F844" s="31"/>
      <c r="G844" s="31"/>
      <c r="H844" s="31"/>
      <c r="I844" s="31">
        <v>1.3</v>
      </c>
      <c r="J844" s="31"/>
      <c r="K844" s="30">
        <f t="shared" si="180"/>
        <v>736816.6</v>
      </c>
      <c r="L844" s="30">
        <f>K844</f>
        <v>736816.6</v>
      </c>
    </row>
    <row r="845" spans="1:12" ht="30" customHeight="1" x14ac:dyDescent="0.2">
      <c r="A845" s="27" t="s">
        <v>1462</v>
      </c>
      <c r="B845" s="27"/>
      <c r="C845" s="27" t="s">
        <v>1463</v>
      </c>
      <c r="D845" s="31">
        <v>6.45</v>
      </c>
      <c r="E845" s="30">
        <v>34507</v>
      </c>
      <c r="F845" s="31">
        <v>1.5</v>
      </c>
      <c r="G845" s="31">
        <f t="shared" ref="G845:G863" si="193">1.22</f>
        <v>1.22</v>
      </c>
      <c r="H845" s="31">
        <v>1.35</v>
      </c>
      <c r="I845" s="31">
        <v>1.3</v>
      </c>
      <c r="J845" s="31"/>
      <c r="K845" s="30">
        <f t="shared" si="180"/>
        <v>110824.40655</v>
      </c>
      <c r="L845" s="30">
        <f t="shared" ref="L845:L863" si="194">L844+K845</f>
        <v>847641.00654999993</v>
      </c>
    </row>
    <row r="846" spans="1:12" ht="30" customHeight="1" x14ac:dyDescent="0.2">
      <c r="A846" s="27" t="s">
        <v>1462</v>
      </c>
      <c r="B846" s="27"/>
      <c r="C846" s="27" t="s">
        <v>1464</v>
      </c>
      <c r="D846" s="31">
        <f>D845+0.867</f>
        <v>7.3170000000000002</v>
      </c>
      <c r="E846" s="30">
        <v>33050</v>
      </c>
      <c r="F846" s="31">
        <v>1.5</v>
      </c>
      <c r="G846" s="31">
        <f t="shared" si="193"/>
        <v>1.22</v>
      </c>
      <c r="H846" s="31">
        <v>1.35</v>
      </c>
      <c r="I846" s="31">
        <v>1.3</v>
      </c>
      <c r="J846" s="31"/>
      <c r="K846" s="30">
        <f t="shared" si="180"/>
        <v>106145.03250000002</v>
      </c>
      <c r="L846" s="30">
        <f t="shared" si="194"/>
        <v>953786.0390499999</v>
      </c>
    </row>
    <row r="847" spans="1:12" ht="30" customHeight="1" x14ac:dyDescent="0.2">
      <c r="A847" s="27" t="s">
        <v>1462</v>
      </c>
      <c r="B847" s="27"/>
      <c r="C847" s="27" t="s">
        <v>1465</v>
      </c>
      <c r="D847" s="31">
        <f t="shared" ref="D847:D851" si="195">D846+0.5</f>
        <v>7.8170000000000002</v>
      </c>
      <c r="E847" s="30">
        <f t="shared" ref="E847:E863" si="196">6435*5</f>
        <v>32175</v>
      </c>
      <c r="F847" s="31">
        <v>1.5</v>
      </c>
      <c r="G847" s="31">
        <f t="shared" si="193"/>
        <v>1.22</v>
      </c>
      <c r="H847" s="31">
        <v>1.35</v>
      </c>
      <c r="I847" s="31">
        <v>1.3</v>
      </c>
      <c r="J847" s="31"/>
      <c r="K847" s="30">
        <f t="shared" si="180"/>
        <v>103334.83875000001</v>
      </c>
      <c r="L847" s="30">
        <f t="shared" si="194"/>
        <v>1057120.8777999999</v>
      </c>
    </row>
    <row r="848" spans="1:12" ht="30" customHeight="1" x14ac:dyDescent="0.2">
      <c r="A848" s="27" t="s">
        <v>1462</v>
      </c>
      <c r="B848" s="27"/>
      <c r="C848" s="27" t="s">
        <v>1466</v>
      </c>
      <c r="D848" s="31">
        <f t="shared" si="195"/>
        <v>8.3170000000000002</v>
      </c>
      <c r="E848" s="30">
        <f t="shared" si="196"/>
        <v>32175</v>
      </c>
      <c r="F848" s="31">
        <v>1.5</v>
      </c>
      <c r="G848" s="31">
        <f t="shared" si="193"/>
        <v>1.22</v>
      </c>
      <c r="H848" s="31">
        <v>1.35</v>
      </c>
      <c r="I848" s="31">
        <v>1.3</v>
      </c>
      <c r="J848" s="31"/>
      <c r="K848" s="30">
        <f t="shared" si="180"/>
        <v>103334.83875000001</v>
      </c>
      <c r="L848" s="30">
        <f t="shared" si="194"/>
        <v>1160455.71655</v>
      </c>
    </row>
    <row r="849" spans="1:12" ht="30" customHeight="1" x14ac:dyDescent="0.2">
      <c r="A849" s="27" t="s">
        <v>1462</v>
      </c>
      <c r="B849" s="27"/>
      <c r="C849" s="27" t="s">
        <v>1467</v>
      </c>
      <c r="D849" s="31">
        <f t="shared" si="195"/>
        <v>8.8170000000000002</v>
      </c>
      <c r="E849" s="30">
        <f t="shared" si="196"/>
        <v>32175</v>
      </c>
      <c r="F849" s="31">
        <v>1.5</v>
      </c>
      <c r="G849" s="31">
        <f t="shared" si="193"/>
        <v>1.22</v>
      </c>
      <c r="H849" s="31">
        <v>1.35</v>
      </c>
      <c r="I849" s="31">
        <v>1.3</v>
      </c>
      <c r="J849" s="31"/>
      <c r="K849" s="30">
        <f t="shared" si="180"/>
        <v>103334.83875000001</v>
      </c>
      <c r="L849" s="30">
        <f t="shared" si="194"/>
        <v>1263790.5553000001</v>
      </c>
    </row>
    <row r="850" spans="1:12" ht="30" customHeight="1" x14ac:dyDescent="0.2">
      <c r="A850" s="27" t="s">
        <v>1462</v>
      </c>
      <c r="B850" s="27"/>
      <c r="C850" s="27" t="s">
        <v>1468</v>
      </c>
      <c r="D850" s="31">
        <f t="shared" si="195"/>
        <v>9.3170000000000002</v>
      </c>
      <c r="E850" s="30">
        <f t="shared" si="196"/>
        <v>32175</v>
      </c>
      <c r="F850" s="31">
        <v>1.5</v>
      </c>
      <c r="G850" s="31">
        <f t="shared" si="193"/>
        <v>1.22</v>
      </c>
      <c r="H850" s="31">
        <v>1.35</v>
      </c>
      <c r="I850" s="31">
        <v>1.3</v>
      </c>
      <c r="J850" s="31"/>
      <c r="K850" s="30">
        <f t="shared" si="180"/>
        <v>103334.83875000001</v>
      </c>
      <c r="L850" s="30">
        <f t="shared" si="194"/>
        <v>1367125.3940500002</v>
      </c>
    </row>
    <row r="851" spans="1:12" ht="30" customHeight="1" x14ac:dyDescent="0.2">
      <c r="A851" s="27" t="s">
        <v>1462</v>
      </c>
      <c r="B851" s="27"/>
      <c r="C851" s="27" t="s">
        <v>1469</v>
      </c>
      <c r="D851" s="31">
        <f t="shared" si="195"/>
        <v>9.8170000000000002</v>
      </c>
      <c r="E851" s="30">
        <f t="shared" si="196"/>
        <v>32175</v>
      </c>
      <c r="F851" s="31">
        <v>1.5</v>
      </c>
      <c r="G851" s="31">
        <f t="shared" si="193"/>
        <v>1.22</v>
      </c>
      <c r="H851" s="31">
        <v>1.35</v>
      </c>
      <c r="I851" s="31">
        <v>1.3</v>
      </c>
      <c r="J851" s="31"/>
      <c r="K851" s="30">
        <f t="shared" si="180"/>
        <v>103334.83875000001</v>
      </c>
      <c r="L851" s="30">
        <f t="shared" si="194"/>
        <v>1470460.2328000003</v>
      </c>
    </row>
    <row r="852" spans="1:12" ht="30" customHeight="1" x14ac:dyDescent="0.2">
      <c r="A852" s="27" t="s">
        <v>1462</v>
      </c>
      <c r="B852" s="27"/>
      <c r="C852" s="27" t="s">
        <v>1470</v>
      </c>
      <c r="D852" s="31">
        <f>D851+1.483</f>
        <v>11.3</v>
      </c>
      <c r="E852" s="30">
        <f t="shared" si="196"/>
        <v>32175</v>
      </c>
      <c r="F852" s="31">
        <v>1.5</v>
      </c>
      <c r="G852" s="31">
        <f t="shared" si="193"/>
        <v>1.22</v>
      </c>
      <c r="H852" s="31">
        <v>1.35</v>
      </c>
      <c r="I852" s="31">
        <v>1.3</v>
      </c>
      <c r="J852" s="31"/>
      <c r="K852" s="30">
        <f t="shared" si="180"/>
        <v>103334.83875000001</v>
      </c>
      <c r="L852" s="30">
        <f t="shared" si="194"/>
        <v>1573795.0715500005</v>
      </c>
    </row>
    <row r="853" spans="1:12" ht="30" customHeight="1" x14ac:dyDescent="0.2">
      <c r="A853" s="27" t="s">
        <v>1462</v>
      </c>
      <c r="B853" s="27"/>
      <c r="C853" s="27" t="s">
        <v>1471</v>
      </c>
      <c r="D853" s="31">
        <f t="shared" ref="D853:D858" si="197">D852+0.5</f>
        <v>11.8</v>
      </c>
      <c r="E853" s="30">
        <f t="shared" si="196"/>
        <v>32175</v>
      </c>
      <c r="F853" s="31">
        <v>1.5</v>
      </c>
      <c r="G853" s="31">
        <f t="shared" si="193"/>
        <v>1.22</v>
      </c>
      <c r="H853" s="31">
        <v>1.35</v>
      </c>
      <c r="I853" s="31">
        <v>1.3</v>
      </c>
      <c r="J853" s="31"/>
      <c r="K853" s="30">
        <f t="shared" si="180"/>
        <v>103334.83875000001</v>
      </c>
      <c r="L853" s="30">
        <f t="shared" si="194"/>
        <v>1677129.9103000006</v>
      </c>
    </row>
    <row r="854" spans="1:12" ht="30" customHeight="1" x14ac:dyDescent="0.2">
      <c r="A854" s="27" t="s">
        <v>1462</v>
      </c>
      <c r="B854" s="27"/>
      <c r="C854" s="27" t="s">
        <v>1472</v>
      </c>
      <c r="D854" s="31">
        <f t="shared" si="197"/>
        <v>12.3</v>
      </c>
      <c r="E854" s="30">
        <f t="shared" si="196"/>
        <v>32175</v>
      </c>
      <c r="F854" s="31">
        <v>1.5</v>
      </c>
      <c r="G854" s="31">
        <f t="shared" si="193"/>
        <v>1.22</v>
      </c>
      <c r="H854" s="31">
        <v>1.35</v>
      </c>
      <c r="I854" s="31">
        <v>1.3</v>
      </c>
      <c r="J854" s="31"/>
      <c r="K854" s="30">
        <f t="shared" si="180"/>
        <v>103334.83875000001</v>
      </c>
      <c r="L854" s="30">
        <f t="shared" si="194"/>
        <v>1780464.7490500007</v>
      </c>
    </row>
    <row r="855" spans="1:12" ht="30" customHeight="1" x14ac:dyDescent="0.2">
      <c r="A855" s="27" t="s">
        <v>1462</v>
      </c>
      <c r="B855" s="27"/>
      <c r="C855" s="27" t="s">
        <v>1473</v>
      </c>
      <c r="D855" s="31">
        <f t="shared" si="197"/>
        <v>12.8</v>
      </c>
      <c r="E855" s="30">
        <f t="shared" si="196"/>
        <v>32175</v>
      </c>
      <c r="F855" s="31">
        <v>1.5</v>
      </c>
      <c r="G855" s="31">
        <f t="shared" si="193"/>
        <v>1.22</v>
      </c>
      <c r="H855" s="31">
        <v>1.35</v>
      </c>
      <c r="I855" s="31">
        <v>1.3</v>
      </c>
      <c r="J855" s="31"/>
      <c r="K855" s="30">
        <f t="shared" si="180"/>
        <v>103334.83875000001</v>
      </c>
      <c r="L855" s="30">
        <f t="shared" si="194"/>
        <v>1883799.5878000008</v>
      </c>
    </row>
    <row r="856" spans="1:12" ht="30" customHeight="1" x14ac:dyDescent="0.2">
      <c r="A856" s="27" t="s">
        <v>1462</v>
      </c>
      <c r="B856" s="27"/>
      <c r="C856" s="27" t="s">
        <v>1474</v>
      </c>
      <c r="D856" s="31">
        <f t="shared" si="197"/>
        <v>13.3</v>
      </c>
      <c r="E856" s="30">
        <f t="shared" si="196"/>
        <v>32175</v>
      </c>
      <c r="F856" s="31">
        <v>1.5</v>
      </c>
      <c r="G856" s="31">
        <f t="shared" si="193"/>
        <v>1.22</v>
      </c>
      <c r="H856" s="31">
        <v>1.35</v>
      </c>
      <c r="I856" s="31">
        <v>1.3</v>
      </c>
      <c r="J856" s="31"/>
      <c r="K856" s="30">
        <f t="shared" si="180"/>
        <v>103334.83875000001</v>
      </c>
      <c r="L856" s="30">
        <f t="shared" si="194"/>
        <v>1987134.4265500009</v>
      </c>
    </row>
    <row r="857" spans="1:12" ht="30" customHeight="1" x14ac:dyDescent="0.2">
      <c r="A857" s="27" t="s">
        <v>1462</v>
      </c>
      <c r="B857" s="27"/>
      <c r="C857" s="27" t="s">
        <v>1475</v>
      </c>
      <c r="D857" s="31">
        <f t="shared" si="197"/>
        <v>13.8</v>
      </c>
      <c r="E857" s="30">
        <f t="shared" si="196"/>
        <v>32175</v>
      </c>
      <c r="F857" s="31">
        <v>1.5</v>
      </c>
      <c r="G857" s="31">
        <f t="shared" si="193"/>
        <v>1.22</v>
      </c>
      <c r="H857" s="31">
        <v>1.35</v>
      </c>
      <c r="I857" s="31">
        <v>1.3</v>
      </c>
      <c r="J857" s="31"/>
      <c r="K857" s="30">
        <f t="shared" si="180"/>
        <v>103334.83875000001</v>
      </c>
      <c r="L857" s="30">
        <f t="shared" si="194"/>
        <v>2090469.265300001</v>
      </c>
    </row>
    <row r="858" spans="1:12" ht="30" customHeight="1" x14ac:dyDescent="0.2">
      <c r="A858" s="27" t="s">
        <v>1462</v>
      </c>
      <c r="B858" s="27"/>
      <c r="C858" s="27" t="s">
        <v>1476</v>
      </c>
      <c r="D858" s="31">
        <f t="shared" si="197"/>
        <v>14.3</v>
      </c>
      <c r="E858" s="30">
        <f t="shared" si="196"/>
        <v>32175</v>
      </c>
      <c r="F858" s="31">
        <v>1.5</v>
      </c>
      <c r="G858" s="31">
        <f t="shared" si="193"/>
        <v>1.22</v>
      </c>
      <c r="H858" s="31">
        <v>1.35</v>
      </c>
      <c r="I858" s="31">
        <v>1.3</v>
      </c>
      <c r="J858" s="31"/>
      <c r="K858" s="30">
        <f t="shared" si="180"/>
        <v>103334.83875000001</v>
      </c>
      <c r="L858" s="30">
        <f t="shared" si="194"/>
        <v>2193804.1040500011</v>
      </c>
    </row>
    <row r="859" spans="1:12" ht="30" customHeight="1" x14ac:dyDescent="0.2">
      <c r="A859" s="27" t="s">
        <v>1462</v>
      </c>
      <c r="B859" s="27"/>
      <c r="C859" s="27" t="s">
        <v>1477</v>
      </c>
      <c r="D859" s="31">
        <f>D858+1.483</f>
        <v>15.783000000000001</v>
      </c>
      <c r="E859" s="30">
        <f t="shared" si="196"/>
        <v>32175</v>
      </c>
      <c r="F859" s="31">
        <v>1.5</v>
      </c>
      <c r="G859" s="31">
        <f t="shared" si="193"/>
        <v>1.22</v>
      </c>
      <c r="H859" s="31">
        <v>1.35</v>
      </c>
      <c r="I859" s="31">
        <v>1.3</v>
      </c>
      <c r="J859" s="31"/>
      <c r="K859" s="30">
        <f t="shared" si="180"/>
        <v>103334.83875000001</v>
      </c>
      <c r="L859" s="30">
        <f t="shared" si="194"/>
        <v>2297138.9428000012</v>
      </c>
    </row>
    <row r="860" spans="1:12" ht="30" customHeight="1" x14ac:dyDescent="0.2">
      <c r="A860" s="27" t="s">
        <v>1462</v>
      </c>
      <c r="B860" s="27"/>
      <c r="C860" s="27" t="s">
        <v>1478</v>
      </c>
      <c r="D860" s="31">
        <f t="shared" ref="D860:D863" si="198">D859+0.5</f>
        <v>16.283000000000001</v>
      </c>
      <c r="E860" s="30">
        <f t="shared" si="196"/>
        <v>32175</v>
      </c>
      <c r="F860" s="31">
        <v>1.5</v>
      </c>
      <c r="G860" s="31">
        <f t="shared" si="193"/>
        <v>1.22</v>
      </c>
      <c r="H860" s="31">
        <v>1.35</v>
      </c>
      <c r="I860" s="31">
        <v>1.3</v>
      </c>
      <c r="J860" s="31"/>
      <c r="K860" s="30">
        <f t="shared" si="180"/>
        <v>103334.83875000001</v>
      </c>
      <c r="L860" s="30">
        <f t="shared" si="194"/>
        <v>2400473.7815500014</v>
      </c>
    </row>
    <row r="861" spans="1:12" ht="30" customHeight="1" x14ac:dyDescent="0.2">
      <c r="A861" s="27" t="s">
        <v>1462</v>
      </c>
      <c r="B861" s="27"/>
      <c r="C861" s="27" t="s">
        <v>1479</v>
      </c>
      <c r="D861" s="31">
        <f t="shared" si="198"/>
        <v>16.783000000000001</v>
      </c>
      <c r="E861" s="30">
        <f t="shared" si="196"/>
        <v>32175</v>
      </c>
      <c r="F861" s="31">
        <v>1.5</v>
      </c>
      <c r="G861" s="31">
        <f t="shared" si="193"/>
        <v>1.22</v>
      </c>
      <c r="H861" s="31">
        <v>1.35</v>
      </c>
      <c r="I861" s="31">
        <v>1.3</v>
      </c>
      <c r="J861" s="31"/>
      <c r="K861" s="30">
        <f t="shared" si="180"/>
        <v>103334.83875000001</v>
      </c>
      <c r="L861" s="30">
        <f t="shared" si="194"/>
        <v>2503808.6203000015</v>
      </c>
    </row>
    <row r="862" spans="1:12" ht="30" customHeight="1" x14ac:dyDescent="0.2">
      <c r="A862" s="27" t="s">
        <v>1462</v>
      </c>
      <c r="B862" s="27"/>
      <c r="C862" s="27" t="s">
        <v>1480</v>
      </c>
      <c r="D862" s="31">
        <f t="shared" si="198"/>
        <v>17.283000000000001</v>
      </c>
      <c r="E862" s="30">
        <f t="shared" si="196"/>
        <v>32175</v>
      </c>
      <c r="F862" s="31">
        <v>1.5</v>
      </c>
      <c r="G862" s="31">
        <f t="shared" si="193"/>
        <v>1.22</v>
      </c>
      <c r="H862" s="31">
        <v>1.35</v>
      </c>
      <c r="I862" s="31">
        <v>1.3</v>
      </c>
      <c r="J862" s="31"/>
      <c r="K862" s="30">
        <f t="shared" si="180"/>
        <v>103334.83875000001</v>
      </c>
      <c r="L862" s="30">
        <f t="shared" si="194"/>
        <v>2607143.4590500016</v>
      </c>
    </row>
    <row r="863" spans="1:12" ht="30" customHeight="1" x14ac:dyDescent="0.2">
      <c r="A863" s="27" t="s">
        <v>1462</v>
      </c>
      <c r="B863" s="27"/>
      <c r="C863" s="27" t="s">
        <v>1481</v>
      </c>
      <c r="D863" s="31">
        <f t="shared" si="198"/>
        <v>17.783000000000001</v>
      </c>
      <c r="E863" s="30">
        <f t="shared" si="196"/>
        <v>32175</v>
      </c>
      <c r="F863" s="31">
        <v>1.5</v>
      </c>
      <c r="G863" s="31">
        <f t="shared" si="193"/>
        <v>1.22</v>
      </c>
      <c r="H863" s="31">
        <v>1.35</v>
      </c>
      <c r="I863" s="31">
        <v>1.3</v>
      </c>
      <c r="J863" s="31"/>
      <c r="K863" s="30">
        <f t="shared" si="180"/>
        <v>103334.83875000001</v>
      </c>
      <c r="L863" s="65">
        <f t="shared" si="194"/>
        <v>2710478.2978000017</v>
      </c>
    </row>
    <row r="864" spans="1:12" ht="30" customHeight="1" x14ac:dyDescent="0.2">
      <c r="A864" s="27" t="s">
        <v>1482</v>
      </c>
      <c r="B864" s="27"/>
      <c r="C864" s="27" t="s">
        <v>936</v>
      </c>
      <c r="D864" s="31">
        <v>1.7</v>
      </c>
      <c r="E864" s="30">
        <v>566782</v>
      </c>
      <c r="F864" s="31"/>
      <c r="G864" s="31"/>
      <c r="H864" s="31"/>
      <c r="I864" s="31">
        <v>1.3</v>
      </c>
      <c r="J864" s="31"/>
      <c r="K864" s="30">
        <f t="shared" si="180"/>
        <v>736816.6</v>
      </c>
      <c r="L864" s="30">
        <f>K864</f>
        <v>736816.6</v>
      </c>
    </row>
    <row r="865" spans="1:12" ht="30" customHeight="1" x14ac:dyDescent="0.2">
      <c r="A865" s="27" t="s">
        <v>1482</v>
      </c>
      <c r="B865" s="27"/>
      <c r="C865" s="27" t="s">
        <v>1483</v>
      </c>
      <c r="D865" s="31">
        <v>3.5830000000000002</v>
      </c>
      <c r="E865" s="30">
        <v>69648</v>
      </c>
      <c r="F865" s="31"/>
      <c r="G865" s="31">
        <f t="shared" ref="G865:G880" si="199">1.22</f>
        <v>1.22</v>
      </c>
      <c r="H865" s="31">
        <v>1.35</v>
      </c>
      <c r="I865" s="31">
        <v>1.3</v>
      </c>
      <c r="J865" s="31"/>
      <c r="K865" s="30">
        <f t="shared" si="180"/>
        <v>149123.3328</v>
      </c>
      <c r="L865" s="30">
        <f t="shared" ref="L865:L880" si="200">L864+K865</f>
        <v>885939.93279999995</v>
      </c>
    </row>
    <row r="866" spans="1:12" ht="30" customHeight="1" x14ac:dyDescent="0.2">
      <c r="A866" s="27" t="s">
        <v>1482</v>
      </c>
      <c r="B866" s="27"/>
      <c r="C866" s="27" t="s">
        <v>1484</v>
      </c>
      <c r="D866" s="31">
        <f t="shared" ref="D866:D868" si="201">D865+1.3</f>
        <v>4.883</v>
      </c>
      <c r="E866" s="30">
        <v>69648</v>
      </c>
      <c r="F866" s="31"/>
      <c r="G866" s="31">
        <f t="shared" si="199"/>
        <v>1.22</v>
      </c>
      <c r="H866" s="31">
        <v>1.35</v>
      </c>
      <c r="I866" s="31">
        <v>1.3</v>
      </c>
      <c r="J866" s="31"/>
      <c r="K866" s="30">
        <f t="shared" si="180"/>
        <v>149123.3328</v>
      </c>
      <c r="L866" s="30">
        <f t="shared" si="200"/>
        <v>1035063.2655999999</v>
      </c>
    </row>
    <row r="867" spans="1:12" ht="30" customHeight="1" x14ac:dyDescent="0.2">
      <c r="A867" s="27" t="s">
        <v>1482</v>
      </c>
      <c r="B867" s="27"/>
      <c r="C867" s="27" t="s">
        <v>1485</v>
      </c>
      <c r="D867" s="31">
        <f t="shared" si="201"/>
        <v>6.1829999999999998</v>
      </c>
      <c r="E867" s="30">
        <v>69648</v>
      </c>
      <c r="F867" s="31"/>
      <c r="G867" s="31">
        <f t="shared" si="199"/>
        <v>1.22</v>
      </c>
      <c r="H867" s="31">
        <v>1.35</v>
      </c>
      <c r="I867" s="31">
        <v>1.3</v>
      </c>
      <c r="J867" s="31"/>
      <c r="K867" s="30">
        <f t="shared" si="180"/>
        <v>149123.3328</v>
      </c>
      <c r="L867" s="30">
        <f t="shared" si="200"/>
        <v>1184186.5984</v>
      </c>
    </row>
    <row r="868" spans="1:12" ht="30" customHeight="1" x14ac:dyDescent="0.2">
      <c r="A868" s="27" t="s">
        <v>1482</v>
      </c>
      <c r="B868" s="27"/>
      <c r="C868" s="27" t="s">
        <v>1486</v>
      </c>
      <c r="D868" s="31">
        <f t="shared" si="201"/>
        <v>7.4829999999999997</v>
      </c>
      <c r="E868" s="30">
        <v>69648</v>
      </c>
      <c r="F868" s="31"/>
      <c r="G868" s="31">
        <f t="shared" si="199"/>
        <v>1.22</v>
      </c>
      <c r="H868" s="31">
        <v>1.35</v>
      </c>
      <c r="I868" s="31">
        <v>1.3</v>
      </c>
      <c r="J868" s="31"/>
      <c r="K868" s="30">
        <f t="shared" si="180"/>
        <v>149123.3328</v>
      </c>
      <c r="L868" s="30">
        <f t="shared" si="200"/>
        <v>1333309.9312</v>
      </c>
    </row>
    <row r="869" spans="1:12" ht="30" customHeight="1" x14ac:dyDescent="0.2">
      <c r="A869" s="27" t="s">
        <v>1482</v>
      </c>
      <c r="B869" s="27"/>
      <c r="C869" s="27" t="s">
        <v>1487</v>
      </c>
      <c r="D869" s="31">
        <f>D868+2.2</f>
        <v>9.6829999999999998</v>
      </c>
      <c r="E869" s="30">
        <v>69648</v>
      </c>
      <c r="F869" s="31"/>
      <c r="G869" s="31">
        <f t="shared" si="199"/>
        <v>1.22</v>
      </c>
      <c r="H869" s="31">
        <v>1.35</v>
      </c>
      <c r="I869" s="31">
        <v>1.3</v>
      </c>
      <c r="J869" s="31"/>
      <c r="K869" s="30">
        <f t="shared" si="180"/>
        <v>149123.3328</v>
      </c>
      <c r="L869" s="30">
        <f t="shared" si="200"/>
        <v>1482433.264</v>
      </c>
    </row>
    <row r="870" spans="1:12" ht="30" customHeight="1" x14ac:dyDescent="0.2">
      <c r="A870" s="27" t="s">
        <v>1482</v>
      </c>
      <c r="B870" s="27"/>
      <c r="C870" s="27" t="s">
        <v>1488</v>
      </c>
      <c r="D870" s="31">
        <f t="shared" ref="D870:D872" si="202">D869+1.3</f>
        <v>10.983000000000001</v>
      </c>
      <c r="E870" s="30">
        <v>69648</v>
      </c>
      <c r="F870" s="31"/>
      <c r="G870" s="31">
        <f t="shared" si="199"/>
        <v>1.22</v>
      </c>
      <c r="H870" s="31">
        <v>1.35</v>
      </c>
      <c r="I870" s="31">
        <v>1.3</v>
      </c>
      <c r="J870" s="31"/>
      <c r="K870" s="30">
        <f t="shared" si="180"/>
        <v>149123.3328</v>
      </c>
      <c r="L870" s="30">
        <f t="shared" si="200"/>
        <v>1631556.5967999999</v>
      </c>
    </row>
    <row r="871" spans="1:12" ht="30" customHeight="1" x14ac:dyDescent="0.2">
      <c r="A871" s="27" t="s">
        <v>1482</v>
      </c>
      <c r="B871" s="27"/>
      <c r="C871" s="27" t="s">
        <v>1489</v>
      </c>
      <c r="D871" s="31">
        <f t="shared" si="202"/>
        <v>12.283000000000001</v>
      </c>
      <c r="E871" s="30">
        <v>69648</v>
      </c>
      <c r="F871" s="31"/>
      <c r="G871" s="31">
        <f t="shared" si="199"/>
        <v>1.22</v>
      </c>
      <c r="H871" s="31">
        <v>1.35</v>
      </c>
      <c r="I871" s="31">
        <v>1.3</v>
      </c>
      <c r="J871" s="31"/>
      <c r="K871" s="30">
        <f t="shared" si="180"/>
        <v>149123.3328</v>
      </c>
      <c r="L871" s="30">
        <f t="shared" si="200"/>
        <v>1780679.9295999999</v>
      </c>
    </row>
    <row r="872" spans="1:12" ht="30" customHeight="1" x14ac:dyDescent="0.2">
      <c r="A872" s="27" t="s">
        <v>1482</v>
      </c>
      <c r="B872" s="27"/>
      <c r="C872" s="27" t="s">
        <v>1490</v>
      </c>
      <c r="D872" s="31">
        <f t="shared" si="202"/>
        <v>13.583000000000002</v>
      </c>
      <c r="E872" s="30">
        <v>69648</v>
      </c>
      <c r="F872" s="31"/>
      <c r="G872" s="31">
        <f t="shared" si="199"/>
        <v>1.22</v>
      </c>
      <c r="H872" s="31">
        <v>1.35</v>
      </c>
      <c r="I872" s="31">
        <v>1.3</v>
      </c>
      <c r="J872" s="31"/>
      <c r="K872" s="30">
        <f t="shared" si="180"/>
        <v>149123.3328</v>
      </c>
      <c r="L872" s="30">
        <f t="shared" si="200"/>
        <v>1929803.2623999999</v>
      </c>
    </row>
    <row r="873" spans="1:12" ht="30" customHeight="1" x14ac:dyDescent="0.2">
      <c r="A873" s="27" t="s">
        <v>1482</v>
      </c>
      <c r="B873" s="27"/>
      <c r="C873" s="27" t="s">
        <v>1491</v>
      </c>
      <c r="D873" s="31">
        <f>D872+2.2</f>
        <v>15.783000000000001</v>
      </c>
      <c r="E873" s="30">
        <v>69648</v>
      </c>
      <c r="F873" s="31"/>
      <c r="G873" s="31">
        <f t="shared" si="199"/>
        <v>1.22</v>
      </c>
      <c r="H873" s="31">
        <v>1.35</v>
      </c>
      <c r="I873" s="31">
        <v>1.3</v>
      </c>
      <c r="J873" s="31"/>
      <c r="K873" s="30">
        <f t="shared" si="180"/>
        <v>149123.3328</v>
      </c>
      <c r="L873" s="30">
        <f t="shared" si="200"/>
        <v>2078926.5951999999</v>
      </c>
    </row>
    <row r="874" spans="1:12" ht="30" customHeight="1" x14ac:dyDescent="0.2">
      <c r="A874" s="27" t="s">
        <v>1482</v>
      </c>
      <c r="B874" s="27"/>
      <c r="C874" s="27" t="s">
        <v>1492</v>
      </c>
      <c r="D874" s="31">
        <f t="shared" ref="D874:D876" si="203">D873+1.3</f>
        <v>17.083000000000002</v>
      </c>
      <c r="E874" s="30">
        <v>69648</v>
      </c>
      <c r="F874" s="31"/>
      <c r="G874" s="31">
        <f t="shared" si="199"/>
        <v>1.22</v>
      </c>
      <c r="H874" s="31">
        <v>1.35</v>
      </c>
      <c r="I874" s="31">
        <v>1.3</v>
      </c>
      <c r="J874" s="31"/>
      <c r="K874" s="30">
        <f t="shared" si="180"/>
        <v>149123.3328</v>
      </c>
      <c r="L874" s="30">
        <f t="shared" si="200"/>
        <v>2228049.9279999998</v>
      </c>
    </row>
    <row r="875" spans="1:12" ht="30" customHeight="1" x14ac:dyDescent="0.2">
      <c r="A875" s="27" t="s">
        <v>1482</v>
      </c>
      <c r="B875" s="27"/>
      <c r="C875" s="27" t="s">
        <v>1493</v>
      </c>
      <c r="D875" s="31">
        <f t="shared" si="203"/>
        <v>18.383000000000003</v>
      </c>
      <c r="E875" s="30">
        <v>69648</v>
      </c>
      <c r="F875" s="31"/>
      <c r="G875" s="31">
        <f t="shared" si="199"/>
        <v>1.22</v>
      </c>
      <c r="H875" s="31">
        <v>1.35</v>
      </c>
      <c r="I875" s="31">
        <v>1.3</v>
      </c>
      <c r="J875" s="31"/>
      <c r="K875" s="30">
        <f t="shared" si="180"/>
        <v>149123.3328</v>
      </c>
      <c r="L875" s="30">
        <f t="shared" si="200"/>
        <v>2377173.2607999998</v>
      </c>
    </row>
    <row r="876" spans="1:12" ht="30" customHeight="1" x14ac:dyDescent="0.2">
      <c r="A876" s="27" t="s">
        <v>1482</v>
      </c>
      <c r="B876" s="27"/>
      <c r="C876" s="27" t="s">
        <v>1494</v>
      </c>
      <c r="D876" s="31">
        <f t="shared" si="203"/>
        <v>19.683000000000003</v>
      </c>
      <c r="E876" s="30">
        <v>69648</v>
      </c>
      <c r="F876" s="31"/>
      <c r="G876" s="31">
        <f t="shared" si="199"/>
        <v>1.22</v>
      </c>
      <c r="H876" s="31">
        <v>1.35</v>
      </c>
      <c r="I876" s="31">
        <v>1.3</v>
      </c>
      <c r="J876" s="31"/>
      <c r="K876" s="30">
        <f t="shared" si="180"/>
        <v>149123.3328</v>
      </c>
      <c r="L876" s="30">
        <f t="shared" si="200"/>
        <v>2526296.5935999998</v>
      </c>
    </row>
    <row r="877" spans="1:12" ht="30" customHeight="1" x14ac:dyDescent="0.2">
      <c r="A877" s="27" t="s">
        <v>1482</v>
      </c>
      <c r="B877" s="27"/>
      <c r="C877" s="27" t="s">
        <v>1495</v>
      </c>
      <c r="D877" s="31">
        <f>D876+2.2</f>
        <v>21.883000000000003</v>
      </c>
      <c r="E877" s="30">
        <v>69648</v>
      </c>
      <c r="F877" s="31"/>
      <c r="G877" s="31">
        <f t="shared" si="199"/>
        <v>1.22</v>
      </c>
      <c r="H877" s="31">
        <v>1.35</v>
      </c>
      <c r="I877" s="31">
        <v>1.3</v>
      </c>
      <c r="J877" s="31"/>
      <c r="K877" s="30">
        <f t="shared" si="180"/>
        <v>149123.3328</v>
      </c>
      <c r="L877" s="30">
        <f t="shared" si="200"/>
        <v>2675419.9263999998</v>
      </c>
    </row>
    <row r="878" spans="1:12" ht="30" customHeight="1" x14ac:dyDescent="0.2">
      <c r="A878" s="27" t="s">
        <v>1482</v>
      </c>
      <c r="B878" s="27"/>
      <c r="C878" s="27" t="s">
        <v>1496</v>
      </c>
      <c r="D878" s="31">
        <f t="shared" ref="D878:D880" si="204">D877+1.3</f>
        <v>23.183000000000003</v>
      </c>
      <c r="E878" s="30">
        <v>69648</v>
      </c>
      <c r="F878" s="31"/>
      <c r="G878" s="31">
        <f t="shared" si="199"/>
        <v>1.22</v>
      </c>
      <c r="H878" s="31">
        <v>1.35</v>
      </c>
      <c r="I878" s="31">
        <v>1.3</v>
      </c>
      <c r="J878" s="31"/>
      <c r="K878" s="30">
        <f t="shared" si="180"/>
        <v>149123.3328</v>
      </c>
      <c r="L878" s="30">
        <f t="shared" si="200"/>
        <v>2824543.2591999997</v>
      </c>
    </row>
    <row r="879" spans="1:12" ht="30" customHeight="1" x14ac:dyDescent="0.2">
      <c r="A879" s="27" t="s">
        <v>1482</v>
      </c>
      <c r="B879" s="27"/>
      <c r="C879" s="27" t="s">
        <v>1497</v>
      </c>
      <c r="D879" s="31">
        <f t="shared" si="204"/>
        <v>24.483000000000004</v>
      </c>
      <c r="E879" s="30">
        <v>69648</v>
      </c>
      <c r="F879" s="31"/>
      <c r="G879" s="31">
        <f t="shared" si="199"/>
        <v>1.22</v>
      </c>
      <c r="H879" s="31">
        <v>1.35</v>
      </c>
      <c r="I879" s="31">
        <v>1.3</v>
      </c>
      <c r="J879" s="31"/>
      <c r="K879" s="30">
        <f t="shared" si="180"/>
        <v>149123.3328</v>
      </c>
      <c r="L879" s="30">
        <f t="shared" si="200"/>
        <v>2973666.5919999997</v>
      </c>
    </row>
    <row r="880" spans="1:12" ht="30" customHeight="1" x14ac:dyDescent="0.2">
      <c r="A880" s="27" t="s">
        <v>1482</v>
      </c>
      <c r="B880" s="27"/>
      <c r="C880" s="27" t="s">
        <v>1498</v>
      </c>
      <c r="D880" s="31">
        <f t="shared" si="204"/>
        <v>25.783000000000005</v>
      </c>
      <c r="E880" s="30">
        <v>69648</v>
      </c>
      <c r="F880" s="31"/>
      <c r="G880" s="31">
        <f t="shared" si="199"/>
        <v>1.22</v>
      </c>
      <c r="H880" s="31">
        <v>1.35</v>
      </c>
      <c r="I880" s="31">
        <v>1.3</v>
      </c>
      <c r="J880" s="31"/>
      <c r="K880" s="30">
        <f t="shared" si="180"/>
        <v>149123.3328</v>
      </c>
      <c r="L880" s="65">
        <f t="shared" si="200"/>
        <v>3122789.9247999997</v>
      </c>
    </row>
    <row r="881" spans="1:12" ht="30" customHeight="1" x14ac:dyDescent="0.2">
      <c r="A881" s="27" t="s">
        <v>1499</v>
      </c>
      <c r="B881" s="27"/>
      <c r="C881" s="27" t="s">
        <v>936</v>
      </c>
      <c r="D881" s="31">
        <v>1.7</v>
      </c>
      <c r="E881" s="30">
        <v>566782</v>
      </c>
      <c r="F881" s="31"/>
      <c r="G881" s="31"/>
      <c r="H881" s="31"/>
      <c r="I881" s="31">
        <v>1.3</v>
      </c>
      <c r="J881" s="31"/>
      <c r="K881" s="30">
        <f t="shared" si="180"/>
        <v>736816.6</v>
      </c>
      <c r="L881" s="30">
        <f>K881</f>
        <v>736816.6</v>
      </c>
    </row>
    <row r="882" spans="1:12" ht="30" customHeight="1" x14ac:dyDescent="0.2">
      <c r="A882" s="27" t="s">
        <v>1499</v>
      </c>
      <c r="B882" s="27"/>
      <c r="C882" s="27" t="s">
        <v>976</v>
      </c>
      <c r="D882" s="31">
        <v>2.633</v>
      </c>
      <c r="E882" s="30">
        <v>115423</v>
      </c>
      <c r="F882" s="31"/>
      <c r="G882" s="31"/>
      <c r="H882" s="31">
        <v>1.35</v>
      </c>
      <c r="I882" s="31">
        <v>1.3</v>
      </c>
      <c r="J882" s="31"/>
      <c r="K882" s="30">
        <f t="shared" si="180"/>
        <v>202567.36500000002</v>
      </c>
      <c r="L882" s="30">
        <f t="shared" ref="L882:L916" si="205">L881+K882</f>
        <v>939383.96499999997</v>
      </c>
    </row>
    <row r="883" spans="1:12" ht="30" customHeight="1" x14ac:dyDescent="0.2">
      <c r="A883" s="27" t="s">
        <v>1499</v>
      </c>
      <c r="B883" s="27"/>
      <c r="C883" s="27" t="s">
        <v>1500</v>
      </c>
      <c r="D883" s="31">
        <v>3.85</v>
      </c>
      <c r="E883" s="30">
        <v>33409</v>
      </c>
      <c r="F883" s="31">
        <v>1.2</v>
      </c>
      <c r="G883" s="31">
        <f t="shared" ref="G883:G916" si="206">1.22</f>
        <v>1.22</v>
      </c>
      <c r="H883" s="31">
        <v>1.35</v>
      </c>
      <c r="I883" s="31">
        <v>1.3</v>
      </c>
      <c r="J883" s="31">
        <v>1.0777000000000001</v>
      </c>
      <c r="K883" s="30">
        <f t="shared" si="180"/>
        <v>92508.056483075998</v>
      </c>
      <c r="L883" s="30">
        <f t="shared" si="205"/>
        <v>1031892.0214830759</v>
      </c>
    </row>
    <row r="884" spans="1:12" ht="30" customHeight="1" x14ac:dyDescent="0.2">
      <c r="A884" s="27" t="s">
        <v>1499</v>
      </c>
      <c r="B884" s="27"/>
      <c r="C884" s="27" t="s">
        <v>1501</v>
      </c>
      <c r="D884" s="31">
        <f t="shared" ref="D884:D889" si="207">D883+0.983</f>
        <v>4.8330000000000002</v>
      </c>
      <c r="E884" s="30">
        <v>33409</v>
      </c>
      <c r="F884" s="31">
        <v>1.2</v>
      </c>
      <c r="G884" s="31">
        <f t="shared" si="206"/>
        <v>1.22</v>
      </c>
      <c r="H884" s="31">
        <v>1.35</v>
      </c>
      <c r="I884" s="31">
        <v>1.3</v>
      </c>
      <c r="J884" s="31">
        <v>1.0777000000000001</v>
      </c>
      <c r="K884" s="30">
        <f t="shared" si="180"/>
        <v>92508.056483075998</v>
      </c>
      <c r="L884" s="30">
        <f t="shared" si="205"/>
        <v>1124400.077966152</v>
      </c>
    </row>
    <row r="885" spans="1:12" ht="30" customHeight="1" x14ac:dyDescent="0.2">
      <c r="A885" s="27" t="s">
        <v>1499</v>
      </c>
      <c r="B885" s="27"/>
      <c r="C885" s="27" t="s">
        <v>1502</v>
      </c>
      <c r="D885" s="31">
        <f t="shared" si="207"/>
        <v>5.8159999999999998</v>
      </c>
      <c r="E885" s="30">
        <v>33409</v>
      </c>
      <c r="F885" s="31">
        <v>1.2</v>
      </c>
      <c r="G885" s="31">
        <f t="shared" si="206"/>
        <v>1.22</v>
      </c>
      <c r="H885" s="31">
        <v>1.35</v>
      </c>
      <c r="I885" s="31">
        <v>1.3</v>
      </c>
      <c r="J885" s="31">
        <v>1.0777000000000001</v>
      </c>
      <c r="K885" s="30">
        <f t="shared" si="180"/>
        <v>92508.056483075998</v>
      </c>
      <c r="L885" s="30">
        <f t="shared" si="205"/>
        <v>1216908.1344492279</v>
      </c>
    </row>
    <row r="886" spans="1:12" ht="30" customHeight="1" x14ac:dyDescent="0.2">
      <c r="A886" s="27" t="s">
        <v>1499</v>
      </c>
      <c r="B886" s="27"/>
      <c r="C886" s="27" t="s">
        <v>1503</v>
      </c>
      <c r="D886" s="31">
        <f t="shared" si="207"/>
        <v>6.7989999999999995</v>
      </c>
      <c r="E886" s="30">
        <v>33409</v>
      </c>
      <c r="F886" s="31">
        <v>1.2</v>
      </c>
      <c r="G886" s="31">
        <f t="shared" si="206"/>
        <v>1.22</v>
      </c>
      <c r="H886" s="31">
        <v>1.35</v>
      </c>
      <c r="I886" s="31">
        <v>1.3</v>
      </c>
      <c r="J886" s="31">
        <v>1.0777000000000001</v>
      </c>
      <c r="K886" s="30">
        <f t="shared" si="180"/>
        <v>92508.056483075998</v>
      </c>
      <c r="L886" s="30">
        <f t="shared" si="205"/>
        <v>1309416.1909323039</v>
      </c>
    </row>
    <row r="887" spans="1:12" ht="30" customHeight="1" x14ac:dyDescent="0.2">
      <c r="A887" s="27" t="s">
        <v>1499</v>
      </c>
      <c r="B887" s="27"/>
      <c r="C887" s="27" t="s">
        <v>1504</v>
      </c>
      <c r="D887" s="31">
        <f t="shared" si="207"/>
        <v>7.7819999999999991</v>
      </c>
      <c r="E887" s="30">
        <v>33409</v>
      </c>
      <c r="F887" s="31">
        <v>1.2</v>
      </c>
      <c r="G887" s="31">
        <f t="shared" si="206"/>
        <v>1.22</v>
      </c>
      <c r="H887" s="31">
        <v>1.35</v>
      </c>
      <c r="I887" s="31">
        <v>1.3</v>
      </c>
      <c r="J887" s="31">
        <v>1.0777000000000001</v>
      </c>
      <c r="K887" s="30">
        <f t="shared" si="180"/>
        <v>92508.056483075998</v>
      </c>
      <c r="L887" s="30">
        <f t="shared" si="205"/>
        <v>1401924.2474153799</v>
      </c>
    </row>
    <row r="888" spans="1:12" ht="30" customHeight="1" x14ac:dyDescent="0.2">
      <c r="A888" s="27" t="s">
        <v>1499</v>
      </c>
      <c r="B888" s="27"/>
      <c r="C888" s="27" t="s">
        <v>1505</v>
      </c>
      <c r="D888" s="31">
        <f t="shared" si="207"/>
        <v>8.7649999999999988</v>
      </c>
      <c r="E888" s="30">
        <v>33409</v>
      </c>
      <c r="F888" s="31">
        <v>1.2</v>
      </c>
      <c r="G888" s="31">
        <f t="shared" si="206"/>
        <v>1.22</v>
      </c>
      <c r="H888" s="31">
        <v>1.35</v>
      </c>
      <c r="I888" s="31">
        <v>1.3</v>
      </c>
      <c r="J888" s="31">
        <v>1.0777000000000001</v>
      </c>
      <c r="K888" s="30">
        <f t="shared" si="180"/>
        <v>92508.056483075998</v>
      </c>
      <c r="L888" s="30">
        <f t="shared" si="205"/>
        <v>1494432.3038984558</v>
      </c>
    </row>
    <row r="889" spans="1:12" ht="30" customHeight="1" x14ac:dyDescent="0.2">
      <c r="A889" s="27" t="s">
        <v>1499</v>
      </c>
      <c r="B889" s="27"/>
      <c r="C889" s="27" t="s">
        <v>1506</v>
      </c>
      <c r="D889" s="31">
        <f t="shared" si="207"/>
        <v>9.7479999999999993</v>
      </c>
      <c r="E889" s="30">
        <v>33409</v>
      </c>
      <c r="F889" s="31">
        <v>1.2</v>
      </c>
      <c r="G889" s="31">
        <f t="shared" si="206"/>
        <v>1.22</v>
      </c>
      <c r="H889" s="31">
        <v>1.35</v>
      </c>
      <c r="I889" s="31">
        <v>1.3</v>
      </c>
      <c r="J889" s="31">
        <v>1.0777000000000001</v>
      </c>
      <c r="K889" s="30">
        <f t="shared" si="180"/>
        <v>92508.056483075998</v>
      </c>
      <c r="L889" s="30">
        <f t="shared" si="205"/>
        <v>1586940.3603815318</v>
      </c>
    </row>
    <row r="890" spans="1:12" ht="30" customHeight="1" x14ac:dyDescent="0.2">
      <c r="A890" s="27" t="s">
        <v>1499</v>
      </c>
      <c r="B890" s="27"/>
      <c r="C890" s="27" t="s">
        <v>1507</v>
      </c>
      <c r="D890" s="31">
        <f>D889+1.833</f>
        <v>11.581</v>
      </c>
      <c r="E890" s="30">
        <v>33409</v>
      </c>
      <c r="F890" s="31">
        <v>1.2</v>
      </c>
      <c r="G890" s="31">
        <f t="shared" si="206"/>
        <v>1.22</v>
      </c>
      <c r="H890" s="31">
        <v>1.35</v>
      </c>
      <c r="I890" s="31">
        <v>1.3</v>
      </c>
      <c r="J890" s="31">
        <v>1.0777000000000001</v>
      </c>
      <c r="K890" s="30">
        <f t="shared" si="180"/>
        <v>92508.056483075998</v>
      </c>
      <c r="L890" s="30">
        <f t="shared" si="205"/>
        <v>1679448.4168646077</v>
      </c>
    </row>
    <row r="891" spans="1:12" ht="30" customHeight="1" x14ac:dyDescent="0.2">
      <c r="A891" s="27" t="s">
        <v>1499</v>
      </c>
      <c r="B891" s="27"/>
      <c r="C891" s="27" t="s">
        <v>1508</v>
      </c>
      <c r="D891" s="31">
        <f t="shared" ref="D891:D896" si="208">D890+0.983</f>
        <v>12.564</v>
      </c>
      <c r="E891" s="30">
        <v>33409</v>
      </c>
      <c r="F891" s="31">
        <v>1.2</v>
      </c>
      <c r="G891" s="31">
        <f t="shared" si="206"/>
        <v>1.22</v>
      </c>
      <c r="H891" s="31">
        <v>1.35</v>
      </c>
      <c r="I891" s="31">
        <v>1.3</v>
      </c>
      <c r="J891" s="31">
        <v>1.0777000000000001</v>
      </c>
      <c r="K891" s="30">
        <f t="shared" si="180"/>
        <v>92508.056483075998</v>
      </c>
      <c r="L891" s="30">
        <f t="shared" si="205"/>
        <v>1771956.4733476837</v>
      </c>
    </row>
    <row r="892" spans="1:12" ht="30" customHeight="1" x14ac:dyDescent="0.2">
      <c r="A892" s="27" t="s">
        <v>1499</v>
      </c>
      <c r="B892" s="27"/>
      <c r="C892" s="27" t="s">
        <v>1509</v>
      </c>
      <c r="D892" s="31">
        <f t="shared" si="208"/>
        <v>13.547000000000001</v>
      </c>
      <c r="E892" s="30">
        <v>33409</v>
      </c>
      <c r="F892" s="31">
        <v>1.2</v>
      </c>
      <c r="G892" s="31">
        <f t="shared" si="206"/>
        <v>1.22</v>
      </c>
      <c r="H892" s="31">
        <v>1.35</v>
      </c>
      <c r="I892" s="31">
        <v>1.3</v>
      </c>
      <c r="J892" s="31">
        <v>1.0777000000000001</v>
      </c>
      <c r="K892" s="30">
        <f t="shared" si="180"/>
        <v>92508.056483075998</v>
      </c>
      <c r="L892" s="30">
        <f t="shared" si="205"/>
        <v>1864464.5298307596</v>
      </c>
    </row>
    <row r="893" spans="1:12" ht="30" customHeight="1" x14ac:dyDescent="0.2">
      <c r="A893" s="27" t="s">
        <v>1499</v>
      </c>
      <c r="B893" s="27"/>
      <c r="C893" s="27" t="s">
        <v>1510</v>
      </c>
      <c r="D893" s="31">
        <f t="shared" si="208"/>
        <v>14.530000000000001</v>
      </c>
      <c r="E893" s="30">
        <v>33409</v>
      </c>
      <c r="F893" s="31">
        <v>1.2</v>
      </c>
      <c r="G893" s="31">
        <f t="shared" si="206"/>
        <v>1.22</v>
      </c>
      <c r="H893" s="31">
        <v>1.35</v>
      </c>
      <c r="I893" s="31">
        <v>1.3</v>
      </c>
      <c r="J893" s="31">
        <v>1.0777000000000001</v>
      </c>
      <c r="K893" s="30">
        <f t="shared" si="180"/>
        <v>92508.056483075998</v>
      </c>
      <c r="L893" s="30">
        <f t="shared" si="205"/>
        <v>1956972.5863138356</v>
      </c>
    </row>
    <row r="894" spans="1:12" ht="30" customHeight="1" x14ac:dyDescent="0.2">
      <c r="A894" s="27" t="s">
        <v>1499</v>
      </c>
      <c r="B894" s="27"/>
      <c r="C894" s="27" t="s">
        <v>1511</v>
      </c>
      <c r="D894" s="31">
        <f t="shared" si="208"/>
        <v>15.513000000000002</v>
      </c>
      <c r="E894" s="30">
        <v>33409</v>
      </c>
      <c r="F894" s="31">
        <v>1.2</v>
      </c>
      <c r="G894" s="31">
        <f t="shared" si="206"/>
        <v>1.22</v>
      </c>
      <c r="H894" s="31">
        <v>1.35</v>
      </c>
      <c r="I894" s="31">
        <v>1.3</v>
      </c>
      <c r="J894" s="31">
        <v>1.0777000000000001</v>
      </c>
      <c r="K894" s="30">
        <f t="shared" si="180"/>
        <v>92508.056483075998</v>
      </c>
      <c r="L894" s="30">
        <f t="shared" si="205"/>
        <v>2049480.6427969115</v>
      </c>
    </row>
    <row r="895" spans="1:12" ht="30" customHeight="1" x14ac:dyDescent="0.2">
      <c r="A895" s="27" t="s">
        <v>1499</v>
      </c>
      <c r="B895" s="27"/>
      <c r="C895" s="27" t="s">
        <v>1512</v>
      </c>
      <c r="D895" s="31">
        <f t="shared" si="208"/>
        <v>16.496000000000002</v>
      </c>
      <c r="E895" s="30">
        <v>33409</v>
      </c>
      <c r="F895" s="31">
        <v>1.2</v>
      </c>
      <c r="G895" s="31">
        <f t="shared" si="206"/>
        <v>1.22</v>
      </c>
      <c r="H895" s="31">
        <v>1.35</v>
      </c>
      <c r="I895" s="31">
        <v>1.3</v>
      </c>
      <c r="J895" s="31">
        <v>1.0777000000000001</v>
      </c>
      <c r="K895" s="30">
        <f t="shared" si="180"/>
        <v>92508.056483075998</v>
      </c>
      <c r="L895" s="30">
        <f t="shared" si="205"/>
        <v>2141988.6992799877</v>
      </c>
    </row>
    <row r="896" spans="1:12" ht="30" customHeight="1" x14ac:dyDescent="0.2">
      <c r="A896" s="27" t="s">
        <v>1499</v>
      </c>
      <c r="B896" s="27"/>
      <c r="C896" s="27" t="s">
        <v>1513</v>
      </c>
      <c r="D896" s="31">
        <f t="shared" si="208"/>
        <v>17.479000000000003</v>
      </c>
      <c r="E896" s="30">
        <v>33409</v>
      </c>
      <c r="F896" s="31">
        <v>1.2</v>
      </c>
      <c r="G896" s="31">
        <f t="shared" si="206"/>
        <v>1.22</v>
      </c>
      <c r="H896" s="31">
        <v>1.35</v>
      </c>
      <c r="I896" s="31">
        <v>1.3</v>
      </c>
      <c r="J896" s="31">
        <v>1.0777000000000001</v>
      </c>
      <c r="K896" s="30">
        <f t="shared" si="180"/>
        <v>92508.056483075998</v>
      </c>
      <c r="L896" s="30">
        <f t="shared" si="205"/>
        <v>2234496.7557630637</v>
      </c>
    </row>
    <row r="897" spans="1:12" ht="30" customHeight="1" x14ac:dyDescent="0.2">
      <c r="A897" s="27" t="s">
        <v>1499</v>
      </c>
      <c r="B897" s="27"/>
      <c r="C897" s="27" t="s">
        <v>1514</v>
      </c>
      <c r="D897" s="31">
        <f>D896+1.833</f>
        <v>19.312000000000001</v>
      </c>
      <c r="E897" s="30">
        <v>33409</v>
      </c>
      <c r="F897" s="31">
        <v>1.2</v>
      </c>
      <c r="G897" s="31">
        <f t="shared" si="206"/>
        <v>1.22</v>
      </c>
      <c r="H897" s="31">
        <v>1.35</v>
      </c>
      <c r="I897" s="31">
        <v>1.3</v>
      </c>
      <c r="J897" s="31">
        <v>1.0777000000000001</v>
      </c>
      <c r="K897" s="30">
        <f t="shared" si="180"/>
        <v>92508.056483075998</v>
      </c>
      <c r="L897" s="30">
        <f t="shared" si="205"/>
        <v>2327004.8122461396</v>
      </c>
    </row>
    <row r="898" spans="1:12" ht="30" customHeight="1" x14ac:dyDescent="0.2">
      <c r="A898" s="27" t="s">
        <v>1499</v>
      </c>
      <c r="B898" s="27"/>
      <c r="C898" s="27" t="s">
        <v>1515</v>
      </c>
      <c r="D898" s="31">
        <f t="shared" ref="D898:D904" si="209">D897+0.983</f>
        <v>20.295000000000002</v>
      </c>
      <c r="E898" s="30">
        <v>33409</v>
      </c>
      <c r="F898" s="31">
        <v>1.2</v>
      </c>
      <c r="G898" s="31">
        <f t="shared" si="206"/>
        <v>1.22</v>
      </c>
      <c r="H898" s="31">
        <v>1.35</v>
      </c>
      <c r="I898" s="31">
        <v>1.3</v>
      </c>
      <c r="J898" s="31">
        <v>1.0777000000000001</v>
      </c>
      <c r="K898" s="30">
        <f t="shared" si="180"/>
        <v>92508.056483075998</v>
      </c>
      <c r="L898" s="30">
        <f t="shared" si="205"/>
        <v>2419512.8687292156</v>
      </c>
    </row>
    <row r="899" spans="1:12" ht="30" customHeight="1" x14ac:dyDescent="0.2">
      <c r="A899" s="27" t="s">
        <v>1499</v>
      </c>
      <c r="B899" s="27"/>
      <c r="C899" s="27" t="s">
        <v>1516</v>
      </c>
      <c r="D899" s="31">
        <f t="shared" si="209"/>
        <v>21.278000000000002</v>
      </c>
      <c r="E899" s="30">
        <v>33409</v>
      </c>
      <c r="F899" s="31">
        <v>1.2</v>
      </c>
      <c r="G899" s="31">
        <f t="shared" si="206"/>
        <v>1.22</v>
      </c>
      <c r="H899" s="31">
        <v>1.35</v>
      </c>
      <c r="I899" s="31">
        <v>1.3</v>
      </c>
      <c r="J899" s="31">
        <v>1.0777000000000001</v>
      </c>
      <c r="K899" s="30">
        <f t="shared" si="180"/>
        <v>92508.056483075998</v>
      </c>
      <c r="L899" s="30">
        <f t="shared" si="205"/>
        <v>2512020.9252122915</v>
      </c>
    </row>
    <row r="900" spans="1:12" ht="30" customHeight="1" x14ac:dyDescent="0.2">
      <c r="A900" s="27" t="s">
        <v>1499</v>
      </c>
      <c r="B900" s="27"/>
      <c r="C900" s="27" t="s">
        <v>1517</v>
      </c>
      <c r="D900" s="31">
        <f t="shared" si="209"/>
        <v>22.261000000000003</v>
      </c>
      <c r="E900" s="30">
        <v>33409</v>
      </c>
      <c r="F900" s="31">
        <v>1.2</v>
      </c>
      <c r="G900" s="31">
        <f t="shared" si="206"/>
        <v>1.22</v>
      </c>
      <c r="H900" s="31">
        <v>1.35</v>
      </c>
      <c r="I900" s="31">
        <v>1.3</v>
      </c>
      <c r="J900" s="31">
        <v>1.0777000000000001</v>
      </c>
      <c r="K900" s="30">
        <f t="shared" si="180"/>
        <v>92508.056483075998</v>
      </c>
      <c r="L900" s="30">
        <f t="shared" si="205"/>
        <v>2604528.9816953675</v>
      </c>
    </row>
    <row r="901" spans="1:12" ht="30" customHeight="1" x14ac:dyDescent="0.2">
      <c r="A901" s="27" t="s">
        <v>1499</v>
      </c>
      <c r="B901" s="27"/>
      <c r="C901" s="27" t="s">
        <v>1518</v>
      </c>
      <c r="D901" s="31">
        <f t="shared" si="209"/>
        <v>23.244000000000003</v>
      </c>
      <c r="E901" s="30">
        <v>33409</v>
      </c>
      <c r="F901" s="31">
        <v>1.2</v>
      </c>
      <c r="G901" s="31">
        <f t="shared" si="206"/>
        <v>1.22</v>
      </c>
      <c r="H901" s="31">
        <v>1.35</v>
      </c>
      <c r="I901" s="31">
        <v>1.3</v>
      </c>
      <c r="J901" s="31">
        <v>1.0777000000000001</v>
      </c>
      <c r="K901" s="30">
        <f t="shared" si="180"/>
        <v>92508.056483075998</v>
      </c>
      <c r="L901" s="30">
        <f t="shared" si="205"/>
        <v>2697037.0381784434</v>
      </c>
    </row>
    <row r="902" spans="1:12" ht="30" customHeight="1" x14ac:dyDescent="0.2">
      <c r="A902" s="27" t="s">
        <v>1499</v>
      </c>
      <c r="B902" s="27"/>
      <c r="C902" s="27" t="s">
        <v>1519</v>
      </c>
      <c r="D902" s="31">
        <f t="shared" si="209"/>
        <v>24.227000000000004</v>
      </c>
      <c r="E902" s="30">
        <v>33409</v>
      </c>
      <c r="F902" s="31">
        <v>1.2</v>
      </c>
      <c r="G902" s="31">
        <f t="shared" si="206"/>
        <v>1.22</v>
      </c>
      <c r="H902" s="31">
        <v>1.35</v>
      </c>
      <c r="I902" s="31">
        <v>1.3</v>
      </c>
      <c r="J902" s="31">
        <v>1.0777000000000001</v>
      </c>
      <c r="K902" s="30">
        <f t="shared" si="180"/>
        <v>92508.056483075998</v>
      </c>
      <c r="L902" s="30">
        <f t="shared" si="205"/>
        <v>2789545.0946615194</v>
      </c>
    </row>
    <row r="903" spans="1:12" ht="30" customHeight="1" x14ac:dyDescent="0.2">
      <c r="A903" s="27" t="s">
        <v>1499</v>
      </c>
      <c r="B903" s="27"/>
      <c r="C903" s="27" t="s">
        <v>1520</v>
      </c>
      <c r="D903" s="31">
        <f t="shared" si="209"/>
        <v>25.210000000000004</v>
      </c>
      <c r="E903" s="30">
        <v>33409</v>
      </c>
      <c r="F903" s="31">
        <v>1.2</v>
      </c>
      <c r="G903" s="31">
        <f t="shared" si="206"/>
        <v>1.22</v>
      </c>
      <c r="H903" s="31">
        <v>1.35</v>
      </c>
      <c r="I903" s="31">
        <v>1.3</v>
      </c>
      <c r="J903" s="31">
        <v>1.0777000000000001</v>
      </c>
      <c r="K903" s="30">
        <f t="shared" si="180"/>
        <v>92508.056483075998</v>
      </c>
      <c r="L903" s="30">
        <f t="shared" si="205"/>
        <v>2882053.1511445954</v>
      </c>
    </row>
    <row r="904" spans="1:12" ht="30" customHeight="1" x14ac:dyDescent="0.2">
      <c r="A904" s="27" t="s">
        <v>1499</v>
      </c>
      <c r="B904" s="27"/>
      <c r="C904" s="27" t="s">
        <v>1521</v>
      </c>
      <c r="D904" s="31">
        <f t="shared" si="209"/>
        <v>26.193000000000005</v>
      </c>
      <c r="E904" s="30">
        <v>33409</v>
      </c>
      <c r="F904" s="31">
        <v>1.2</v>
      </c>
      <c r="G904" s="31">
        <f t="shared" si="206"/>
        <v>1.22</v>
      </c>
      <c r="H904" s="31">
        <v>1.35</v>
      </c>
      <c r="I904" s="31">
        <v>1.3</v>
      </c>
      <c r="J904" s="31">
        <v>1.0777000000000001</v>
      </c>
      <c r="K904" s="30">
        <f t="shared" si="180"/>
        <v>92508.056483075998</v>
      </c>
      <c r="L904" s="30">
        <f t="shared" si="205"/>
        <v>2974561.2076276713</v>
      </c>
    </row>
    <row r="905" spans="1:12" ht="30" customHeight="1" x14ac:dyDescent="0.2">
      <c r="A905" s="27" t="s">
        <v>1499</v>
      </c>
      <c r="B905" s="27"/>
      <c r="C905" s="27" t="s">
        <v>1522</v>
      </c>
      <c r="D905" s="31">
        <f>D904+1.833</f>
        <v>28.026000000000003</v>
      </c>
      <c r="E905" s="30">
        <v>33409</v>
      </c>
      <c r="F905" s="31">
        <v>1.2</v>
      </c>
      <c r="G905" s="31">
        <f t="shared" si="206"/>
        <v>1.22</v>
      </c>
      <c r="H905" s="31">
        <v>1.35</v>
      </c>
      <c r="I905" s="31">
        <v>1.3</v>
      </c>
      <c r="J905" s="31">
        <v>1.0777000000000001</v>
      </c>
      <c r="K905" s="30">
        <f t="shared" si="180"/>
        <v>92508.056483075998</v>
      </c>
      <c r="L905" s="30">
        <f t="shared" si="205"/>
        <v>3067069.2641107473</v>
      </c>
    </row>
    <row r="906" spans="1:12" ht="30" customHeight="1" x14ac:dyDescent="0.2">
      <c r="A906" s="27" t="s">
        <v>1499</v>
      </c>
      <c r="B906" s="27"/>
      <c r="C906" s="27" t="s">
        <v>1523</v>
      </c>
      <c r="D906" s="31">
        <f t="shared" ref="D906:D911" si="210">D905+0.983</f>
        <v>29.009000000000004</v>
      </c>
      <c r="E906" s="30">
        <v>33409</v>
      </c>
      <c r="F906" s="31">
        <v>1.2</v>
      </c>
      <c r="G906" s="31">
        <f t="shared" si="206"/>
        <v>1.22</v>
      </c>
      <c r="H906" s="31">
        <v>1.35</v>
      </c>
      <c r="I906" s="31">
        <v>1.3</v>
      </c>
      <c r="J906" s="31">
        <v>1.0777000000000001</v>
      </c>
      <c r="K906" s="30">
        <f t="shared" si="180"/>
        <v>92508.056483075998</v>
      </c>
      <c r="L906" s="30">
        <f t="shared" si="205"/>
        <v>3159577.3205938232</v>
      </c>
    </row>
    <row r="907" spans="1:12" ht="30" customHeight="1" x14ac:dyDescent="0.2">
      <c r="A907" s="27" t="s">
        <v>1499</v>
      </c>
      <c r="B907" s="27"/>
      <c r="C907" s="27" t="s">
        <v>1524</v>
      </c>
      <c r="D907" s="31">
        <f t="shared" si="210"/>
        <v>29.992000000000004</v>
      </c>
      <c r="E907" s="30">
        <v>33409</v>
      </c>
      <c r="F907" s="31">
        <v>1.2</v>
      </c>
      <c r="G907" s="31">
        <f t="shared" si="206"/>
        <v>1.22</v>
      </c>
      <c r="H907" s="31">
        <v>1.35</v>
      </c>
      <c r="I907" s="31">
        <v>1.3</v>
      </c>
      <c r="J907" s="31">
        <v>1.0777000000000001</v>
      </c>
      <c r="K907" s="30">
        <f t="shared" si="180"/>
        <v>92508.056483075998</v>
      </c>
      <c r="L907" s="30">
        <f t="shared" si="205"/>
        <v>3252085.3770768992</v>
      </c>
    </row>
    <row r="908" spans="1:12" ht="30" customHeight="1" x14ac:dyDescent="0.2">
      <c r="A908" s="27" t="s">
        <v>1499</v>
      </c>
      <c r="B908" s="27"/>
      <c r="C908" s="27" t="s">
        <v>1525</v>
      </c>
      <c r="D908" s="31">
        <f t="shared" si="210"/>
        <v>30.975000000000005</v>
      </c>
      <c r="E908" s="30">
        <v>33409</v>
      </c>
      <c r="F908" s="31">
        <v>1.2</v>
      </c>
      <c r="G908" s="31">
        <f t="shared" si="206"/>
        <v>1.22</v>
      </c>
      <c r="H908" s="31">
        <v>1.35</v>
      </c>
      <c r="I908" s="31">
        <v>1.3</v>
      </c>
      <c r="J908" s="31">
        <v>1.0777000000000001</v>
      </c>
      <c r="K908" s="30">
        <f t="shared" si="180"/>
        <v>92508.056483075998</v>
      </c>
      <c r="L908" s="30">
        <f t="shared" si="205"/>
        <v>3344593.4335599751</v>
      </c>
    </row>
    <row r="909" spans="1:12" ht="30" customHeight="1" x14ac:dyDescent="0.2">
      <c r="A909" s="27" t="s">
        <v>1499</v>
      </c>
      <c r="B909" s="27"/>
      <c r="C909" s="27" t="s">
        <v>1526</v>
      </c>
      <c r="D909" s="31">
        <f t="shared" si="210"/>
        <v>31.958000000000006</v>
      </c>
      <c r="E909" s="30">
        <v>33409</v>
      </c>
      <c r="F909" s="31">
        <v>1.2</v>
      </c>
      <c r="G909" s="31">
        <f t="shared" si="206"/>
        <v>1.22</v>
      </c>
      <c r="H909" s="31">
        <v>1.35</v>
      </c>
      <c r="I909" s="31">
        <v>1.3</v>
      </c>
      <c r="J909" s="31">
        <v>1.0777000000000001</v>
      </c>
      <c r="K909" s="30">
        <f t="shared" si="180"/>
        <v>92508.056483075998</v>
      </c>
      <c r="L909" s="30">
        <f t="shared" si="205"/>
        <v>3437101.4900430511</v>
      </c>
    </row>
    <row r="910" spans="1:12" ht="30" customHeight="1" x14ac:dyDescent="0.2">
      <c r="A910" s="27" t="s">
        <v>1499</v>
      </c>
      <c r="B910" s="27"/>
      <c r="C910" s="27" t="s">
        <v>1527</v>
      </c>
      <c r="D910" s="31">
        <f t="shared" si="210"/>
        <v>32.941000000000003</v>
      </c>
      <c r="E910" s="30">
        <v>33409</v>
      </c>
      <c r="F910" s="31">
        <v>1.2</v>
      </c>
      <c r="G910" s="31">
        <f t="shared" si="206"/>
        <v>1.22</v>
      </c>
      <c r="H910" s="31">
        <v>1.35</v>
      </c>
      <c r="I910" s="31">
        <v>1.3</v>
      </c>
      <c r="J910" s="31">
        <v>1.0777000000000001</v>
      </c>
      <c r="K910" s="30">
        <f t="shared" si="180"/>
        <v>92508.056483075998</v>
      </c>
      <c r="L910" s="30">
        <f t="shared" si="205"/>
        <v>3529609.546526127</v>
      </c>
    </row>
    <row r="911" spans="1:12" ht="30" customHeight="1" x14ac:dyDescent="0.2">
      <c r="A911" s="27" t="s">
        <v>1499</v>
      </c>
      <c r="B911" s="27"/>
      <c r="C911" s="27" t="s">
        <v>1528</v>
      </c>
      <c r="D911" s="31">
        <f t="shared" si="210"/>
        <v>33.923999999999999</v>
      </c>
      <c r="E911" s="30">
        <v>33409</v>
      </c>
      <c r="F911" s="31">
        <v>1.2</v>
      </c>
      <c r="G911" s="31">
        <f t="shared" si="206"/>
        <v>1.22</v>
      </c>
      <c r="H911" s="31">
        <v>1.35</v>
      </c>
      <c r="I911" s="31">
        <v>1.3</v>
      </c>
      <c r="J911" s="31">
        <v>1.0777000000000001</v>
      </c>
      <c r="K911" s="30">
        <f t="shared" si="180"/>
        <v>92508.056483075998</v>
      </c>
      <c r="L911" s="30">
        <f t="shared" si="205"/>
        <v>3622117.603009203</v>
      </c>
    </row>
    <row r="912" spans="1:12" ht="30" customHeight="1" x14ac:dyDescent="0.2">
      <c r="A912" s="27" t="s">
        <v>1499</v>
      </c>
      <c r="B912" s="27"/>
      <c r="C912" s="27" t="s">
        <v>1529</v>
      </c>
      <c r="D912" s="31">
        <f>D911+1.833</f>
        <v>35.756999999999998</v>
      </c>
      <c r="E912" s="30">
        <v>33409</v>
      </c>
      <c r="F912" s="31">
        <v>1.2</v>
      </c>
      <c r="G912" s="31">
        <f t="shared" si="206"/>
        <v>1.22</v>
      </c>
      <c r="H912" s="31">
        <v>1.35</v>
      </c>
      <c r="I912" s="31">
        <v>1.3</v>
      </c>
      <c r="J912" s="31">
        <v>1.0777000000000001</v>
      </c>
      <c r="K912" s="30">
        <f t="shared" si="180"/>
        <v>92508.056483075998</v>
      </c>
      <c r="L912" s="30">
        <f t="shared" si="205"/>
        <v>3714625.6594922789</v>
      </c>
    </row>
    <row r="913" spans="1:12" ht="30" customHeight="1" x14ac:dyDescent="0.2">
      <c r="A913" s="27" t="s">
        <v>1499</v>
      </c>
      <c r="B913" s="27"/>
      <c r="C913" s="27" t="s">
        <v>1530</v>
      </c>
      <c r="D913" s="31">
        <f t="shared" ref="D913:D916" si="211">D912+0.983</f>
        <v>36.739999999999995</v>
      </c>
      <c r="E913" s="30">
        <v>33409</v>
      </c>
      <c r="F913" s="31">
        <v>1.2</v>
      </c>
      <c r="G913" s="31">
        <f t="shared" si="206"/>
        <v>1.22</v>
      </c>
      <c r="H913" s="31">
        <v>1.35</v>
      </c>
      <c r="I913" s="31">
        <v>1.3</v>
      </c>
      <c r="J913" s="31">
        <v>1.0777000000000001</v>
      </c>
      <c r="K913" s="30">
        <f t="shared" si="180"/>
        <v>92508.056483075998</v>
      </c>
      <c r="L913" s="30">
        <f t="shared" si="205"/>
        <v>3807133.7159753549</v>
      </c>
    </row>
    <row r="914" spans="1:12" ht="30" customHeight="1" x14ac:dyDescent="0.2">
      <c r="A914" s="27" t="s">
        <v>1499</v>
      </c>
      <c r="B914" s="27"/>
      <c r="C914" s="27" t="s">
        <v>1531</v>
      </c>
      <c r="D914" s="31">
        <f t="shared" si="211"/>
        <v>37.722999999999992</v>
      </c>
      <c r="E914" s="30">
        <v>33409</v>
      </c>
      <c r="F914" s="31">
        <v>1.2</v>
      </c>
      <c r="G914" s="31">
        <f t="shared" si="206"/>
        <v>1.22</v>
      </c>
      <c r="H914" s="31">
        <v>1.35</v>
      </c>
      <c r="I914" s="31">
        <v>1.3</v>
      </c>
      <c r="J914" s="31">
        <v>1.0777000000000001</v>
      </c>
      <c r="K914" s="30">
        <f t="shared" si="180"/>
        <v>92508.056483075998</v>
      </c>
      <c r="L914" s="30">
        <f t="shared" si="205"/>
        <v>3899641.7724584308</v>
      </c>
    </row>
    <row r="915" spans="1:12" ht="30" customHeight="1" x14ac:dyDescent="0.2">
      <c r="A915" s="27" t="s">
        <v>1499</v>
      </c>
      <c r="B915" s="27"/>
      <c r="C915" s="27" t="s">
        <v>1532</v>
      </c>
      <c r="D915" s="31">
        <f t="shared" si="211"/>
        <v>38.705999999999989</v>
      </c>
      <c r="E915" s="30">
        <v>33409</v>
      </c>
      <c r="F915" s="31">
        <v>1.2</v>
      </c>
      <c r="G915" s="31">
        <f t="shared" si="206"/>
        <v>1.22</v>
      </c>
      <c r="H915" s="31">
        <v>1.35</v>
      </c>
      <c r="I915" s="31">
        <v>1.3</v>
      </c>
      <c r="J915" s="31">
        <v>1.0777000000000001</v>
      </c>
      <c r="K915" s="30">
        <f t="shared" si="180"/>
        <v>92508.056483075998</v>
      </c>
      <c r="L915" s="30">
        <f t="shared" si="205"/>
        <v>3992149.8289415068</v>
      </c>
    </row>
    <row r="916" spans="1:12" ht="30" customHeight="1" x14ac:dyDescent="0.2">
      <c r="A916" s="27" t="s">
        <v>1499</v>
      </c>
      <c r="B916" s="27"/>
      <c r="C916" s="27" t="s">
        <v>1533</v>
      </c>
      <c r="D916" s="31">
        <f t="shared" si="211"/>
        <v>39.688999999999986</v>
      </c>
      <c r="E916" s="30">
        <v>33409</v>
      </c>
      <c r="F916" s="31">
        <v>1.2</v>
      </c>
      <c r="G916" s="31">
        <f t="shared" si="206"/>
        <v>1.22</v>
      </c>
      <c r="H916" s="31">
        <v>1.35</v>
      </c>
      <c r="I916" s="31">
        <v>1.3</v>
      </c>
      <c r="J916" s="31">
        <v>1.0777000000000001</v>
      </c>
      <c r="K916" s="30">
        <f t="shared" si="180"/>
        <v>92508.056483075998</v>
      </c>
      <c r="L916" s="65">
        <f t="shared" si="205"/>
        <v>4084657.8854245828</v>
      </c>
    </row>
    <row r="917" spans="1:12" ht="30" customHeight="1" x14ac:dyDescent="0.2">
      <c r="A917" s="27" t="s">
        <v>1534</v>
      </c>
      <c r="B917" s="27"/>
      <c r="C917" s="27" t="s">
        <v>936</v>
      </c>
      <c r="D917" s="31">
        <v>1.7</v>
      </c>
      <c r="E917" s="30">
        <v>566782</v>
      </c>
      <c r="F917" s="31"/>
      <c r="G917" s="31"/>
      <c r="H917" s="31"/>
      <c r="I917" s="31">
        <v>1.3</v>
      </c>
      <c r="J917" s="31"/>
      <c r="K917" s="30">
        <f t="shared" si="180"/>
        <v>736816.6</v>
      </c>
      <c r="L917" s="30">
        <f>K917</f>
        <v>736816.6</v>
      </c>
    </row>
    <row r="918" spans="1:12" ht="30" customHeight="1" x14ac:dyDescent="0.2">
      <c r="A918" s="27" t="s">
        <v>1534</v>
      </c>
      <c r="B918" s="27"/>
      <c r="C918" s="27" t="s">
        <v>1338</v>
      </c>
      <c r="D918" s="31">
        <v>3.7</v>
      </c>
      <c r="E918" s="30">
        <v>138585</v>
      </c>
      <c r="F918" s="31"/>
      <c r="G918" s="31">
        <v>1.22</v>
      </c>
      <c r="H918" s="31">
        <v>1.35</v>
      </c>
      <c r="I918" s="31">
        <v>1.3</v>
      </c>
      <c r="J918" s="31"/>
      <c r="K918" s="30">
        <f t="shared" si="180"/>
        <v>296724.34350000002</v>
      </c>
      <c r="L918" s="30">
        <f t="shared" ref="L918:L921" si="212">L917+K918</f>
        <v>1033540.9435000001</v>
      </c>
    </row>
    <row r="919" spans="1:12" ht="30" customHeight="1" x14ac:dyDescent="0.2">
      <c r="A919" s="27" t="s">
        <v>1534</v>
      </c>
      <c r="B919" s="27"/>
      <c r="C919" s="27" t="s">
        <v>1339</v>
      </c>
      <c r="D919" s="31">
        <f t="shared" ref="D919:D921" si="213">D918+1.85</f>
        <v>5.5500000000000007</v>
      </c>
      <c r="E919" s="30">
        <v>138585</v>
      </c>
      <c r="F919" s="31"/>
      <c r="G919" s="31">
        <v>1.22</v>
      </c>
      <c r="H919" s="31">
        <v>1.35</v>
      </c>
      <c r="I919" s="31">
        <v>1.3</v>
      </c>
      <c r="J919" s="31"/>
      <c r="K919" s="30">
        <f t="shared" si="180"/>
        <v>296724.34350000002</v>
      </c>
      <c r="L919" s="30">
        <f t="shared" si="212"/>
        <v>1330265.287</v>
      </c>
    </row>
    <row r="920" spans="1:12" ht="30" customHeight="1" x14ac:dyDescent="0.2">
      <c r="A920" s="27" t="s">
        <v>1534</v>
      </c>
      <c r="B920" s="27"/>
      <c r="C920" s="27" t="s">
        <v>1351</v>
      </c>
      <c r="D920" s="31">
        <f t="shared" si="213"/>
        <v>7.4</v>
      </c>
      <c r="E920" s="30">
        <v>138585</v>
      </c>
      <c r="F920" s="31"/>
      <c r="G920" s="31">
        <v>1.22</v>
      </c>
      <c r="H920" s="31">
        <v>1.35</v>
      </c>
      <c r="I920" s="31">
        <v>1.3</v>
      </c>
      <c r="J920" s="31"/>
      <c r="K920" s="30">
        <f t="shared" si="180"/>
        <v>296724.34350000002</v>
      </c>
      <c r="L920" s="30">
        <f t="shared" si="212"/>
        <v>1626989.6305</v>
      </c>
    </row>
    <row r="921" spans="1:12" ht="30" customHeight="1" x14ac:dyDescent="0.2">
      <c r="A921" s="27" t="s">
        <v>1534</v>
      </c>
      <c r="B921" s="27"/>
      <c r="C921" s="27" t="s">
        <v>1352</v>
      </c>
      <c r="D921" s="31">
        <f t="shared" si="213"/>
        <v>9.25</v>
      </c>
      <c r="E921" s="30">
        <v>138585</v>
      </c>
      <c r="F921" s="31"/>
      <c r="G921" s="31">
        <v>1.22</v>
      </c>
      <c r="H921" s="31">
        <v>1.35</v>
      </c>
      <c r="I921" s="31">
        <v>1.3</v>
      </c>
      <c r="J921" s="31"/>
      <c r="K921" s="30">
        <f t="shared" si="180"/>
        <v>296724.34350000002</v>
      </c>
      <c r="L921" s="65">
        <f t="shared" si="212"/>
        <v>1923713.9739999999</v>
      </c>
    </row>
    <row r="922" spans="1:12" ht="30" customHeight="1" x14ac:dyDescent="0.2">
      <c r="A922" s="27" t="s">
        <v>1535</v>
      </c>
      <c r="B922" s="27"/>
      <c r="C922" s="27" t="s">
        <v>936</v>
      </c>
      <c r="D922" s="31">
        <v>1.7</v>
      </c>
      <c r="E922" s="30">
        <v>566782</v>
      </c>
      <c r="F922" s="31"/>
      <c r="G922" s="31"/>
      <c r="H922" s="31"/>
      <c r="I922" s="31">
        <v>1.3</v>
      </c>
      <c r="J922" s="31"/>
      <c r="K922" s="30">
        <f t="shared" si="180"/>
        <v>736816.6</v>
      </c>
      <c r="L922" s="30">
        <f>K922</f>
        <v>736816.6</v>
      </c>
    </row>
    <row r="923" spans="1:12" ht="30" customHeight="1" x14ac:dyDescent="0.2">
      <c r="A923" s="27" t="s">
        <v>1535</v>
      </c>
      <c r="B923" s="27"/>
      <c r="C923" s="27" t="s">
        <v>1536</v>
      </c>
      <c r="D923" s="31">
        <v>20.065999999999999</v>
      </c>
      <c r="E923" s="30">
        <f t="shared" ref="E923:E924" si="214">1687399*195/409</f>
        <v>804505.6356968215</v>
      </c>
      <c r="F923" s="31"/>
      <c r="G923" s="31">
        <f t="shared" ref="G923:G925" si="215">1.22</f>
        <v>1.22</v>
      </c>
      <c r="H923" s="31">
        <v>1.35</v>
      </c>
      <c r="I923" s="31">
        <v>1.3</v>
      </c>
      <c r="J923" s="31"/>
      <c r="K923" s="30">
        <f t="shared" si="180"/>
        <v>1722527.0165904646</v>
      </c>
      <c r="L923" s="30">
        <f t="shared" ref="L923:L925" si="216">L922+K923</f>
        <v>2459343.6165904645</v>
      </c>
    </row>
    <row r="924" spans="1:12" ht="30" customHeight="1" x14ac:dyDescent="0.2">
      <c r="A924" s="27" t="s">
        <v>1535</v>
      </c>
      <c r="B924" s="27"/>
      <c r="C924" s="27" t="s">
        <v>1537</v>
      </c>
      <c r="D924" s="31">
        <f>D923+1.283+17.416</f>
        <v>38.765000000000001</v>
      </c>
      <c r="E924" s="30">
        <f t="shared" si="214"/>
        <v>804505.6356968215</v>
      </c>
      <c r="F924" s="31"/>
      <c r="G924" s="31">
        <f t="shared" si="215"/>
        <v>1.22</v>
      </c>
      <c r="H924" s="31">
        <v>1.35</v>
      </c>
      <c r="I924" s="31">
        <v>1.3</v>
      </c>
      <c r="J924" s="31"/>
      <c r="K924" s="30">
        <f t="shared" si="180"/>
        <v>1722527.0165904646</v>
      </c>
      <c r="L924" s="30">
        <f t="shared" si="216"/>
        <v>4181870.6331809293</v>
      </c>
    </row>
    <row r="925" spans="1:12" ht="30" customHeight="1" x14ac:dyDescent="0.2">
      <c r="A925" s="27" t="s">
        <v>1535</v>
      </c>
      <c r="B925" s="27"/>
      <c r="C925" s="27" t="s">
        <v>1538</v>
      </c>
      <c r="D925" s="31">
        <f>D924+2.333+1.283</f>
        <v>42.381</v>
      </c>
      <c r="E925" s="30">
        <f>1687399*19/409</f>
        <v>78387.728606356963</v>
      </c>
      <c r="F925" s="31"/>
      <c r="G925" s="31">
        <f t="shared" si="215"/>
        <v>1.22</v>
      </c>
      <c r="H925" s="31">
        <v>1.35</v>
      </c>
      <c r="I925" s="31">
        <v>1.3</v>
      </c>
      <c r="J925" s="31"/>
      <c r="K925" s="30">
        <f t="shared" si="180"/>
        <v>167835.9657190709</v>
      </c>
      <c r="L925" s="65">
        <f t="shared" si="216"/>
        <v>4349706.5989000006</v>
      </c>
    </row>
    <row r="926" spans="1:12" ht="30" customHeight="1" x14ac:dyDescent="0.2">
      <c r="A926" s="27" t="s">
        <v>1539</v>
      </c>
      <c r="B926" s="27"/>
      <c r="C926" s="27" t="s">
        <v>936</v>
      </c>
      <c r="D926" s="31">
        <v>1.7</v>
      </c>
      <c r="E926" s="30">
        <v>566782</v>
      </c>
      <c r="F926" s="31"/>
      <c r="G926" s="31"/>
      <c r="H926" s="31"/>
      <c r="I926" s="31">
        <v>1.3</v>
      </c>
      <c r="J926" s="31"/>
      <c r="K926" s="30">
        <f t="shared" si="180"/>
        <v>736816.6</v>
      </c>
      <c r="L926" s="30">
        <f>K926</f>
        <v>736816.6</v>
      </c>
    </row>
    <row r="927" spans="1:12" ht="30" customHeight="1" x14ac:dyDescent="0.2">
      <c r="A927" s="27" t="s">
        <v>1539</v>
      </c>
      <c r="B927" s="27"/>
      <c r="C927" s="27" t="s">
        <v>1540</v>
      </c>
      <c r="D927" s="31">
        <v>4.4160000000000004</v>
      </c>
      <c r="E927" s="30">
        <v>112868</v>
      </c>
      <c r="F927" s="31"/>
      <c r="G927" s="31">
        <f t="shared" ref="G927:G936" si="217">1.22</f>
        <v>1.22</v>
      </c>
      <c r="H927" s="31">
        <v>1.35</v>
      </c>
      <c r="I927" s="31">
        <v>1.3</v>
      </c>
      <c r="J927" s="31"/>
      <c r="K927" s="30">
        <f t="shared" si="180"/>
        <v>241661.67480000001</v>
      </c>
      <c r="L927" s="30">
        <f t="shared" ref="L927:L936" si="218">L926+K927</f>
        <v>978478.27480000001</v>
      </c>
    </row>
    <row r="928" spans="1:12" ht="30" customHeight="1" x14ac:dyDescent="0.2">
      <c r="A928" s="27" t="s">
        <v>1539</v>
      </c>
      <c r="B928" s="27"/>
      <c r="C928" s="27" t="s">
        <v>1541</v>
      </c>
      <c r="D928" s="31">
        <f t="shared" ref="D928:D936" si="219">D927+1.784</f>
        <v>6.2</v>
      </c>
      <c r="E928" s="30">
        <v>112868</v>
      </c>
      <c r="F928" s="31"/>
      <c r="G928" s="31">
        <f t="shared" si="217"/>
        <v>1.22</v>
      </c>
      <c r="H928" s="31">
        <v>1.35</v>
      </c>
      <c r="I928" s="31">
        <v>1.3</v>
      </c>
      <c r="J928" s="31"/>
      <c r="K928" s="30">
        <f t="shared" si="180"/>
        <v>241661.67480000001</v>
      </c>
      <c r="L928" s="30">
        <f t="shared" si="218"/>
        <v>1220139.9495999999</v>
      </c>
    </row>
    <row r="929" spans="1:12" ht="30" customHeight="1" x14ac:dyDescent="0.2">
      <c r="A929" s="27" t="s">
        <v>1539</v>
      </c>
      <c r="B929" s="27"/>
      <c r="C929" s="27" t="s">
        <v>1542</v>
      </c>
      <c r="D929" s="31">
        <f t="shared" si="219"/>
        <v>7.984</v>
      </c>
      <c r="E929" s="30">
        <v>112868</v>
      </c>
      <c r="F929" s="31"/>
      <c r="G929" s="31">
        <f t="shared" si="217"/>
        <v>1.22</v>
      </c>
      <c r="H929" s="31">
        <v>1.35</v>
      </c>
      <c r="I929" s="31">
        <v>1.3</v>
      </c>
      <c r="J929" s="31"/>
      <c r="K929" s="30">
        <f t="shared" si="180"/>
        <v>241661.67480000001</v>
      </c>
      <c r="L929" s="30">
        <f t="shared" si="218"/>
        <v>1461801.6243999999</v>
      </c>
    </row>
    <row r="930" spans="1:12" ht="30" customHeight="1" x14ac:dyDescent="0.2">
      <c r="A930" s="27" t="s">
        <v>1539</v>
      </c>
      <c r="B930" s="27"/>
      <c r="C930" s="27" t="s">
        <v>1543</v>
      </c>
      <c r="D930" s="31">
        <f t="shared" si="219"/>
        <v>9.7680000000000007</v>
      </c>
      <c r="E930" s="30">
        <v>112868</v>
      </c>
      <c r="F930" s="31"/>
      <c r="G930" s="31">
        <f t="shared" si="217"/>
        <v>1.22</v>
      </c>
      <c r="H930" s="31">
        <v>1.35</v>
      </c>
      <c r="I930" s="31">
        <v>1.3</v>
      </c>
      <c r="J930" s="31"/>
      <c r="K930" s="30">
        <f t="shared" si="180"/>
        <v>241661.67480000001</v>
      </c>
      <c r="L930" s="30">
        <f t="shared" si="218"/>
        <v>1703463.2991999998</v>
      </c>
    </row>
    <row r="931" spans="1:12" ht="30" customHeight="1" x14ac:dyDescent="0.2">
      <c r="A931" s="27" t="s">
        <v>1539</v>
      </c>
      <c r="B931" s="27"/>
      <c r="C931" s="27" t="s">
        <v>1544</v>
      </c>
      <c r="D931" s="31">
        <f t="shared" si="219"/>
        <v>11.552000000000001</v>
      </c>
      <c r="E931" s="30">
        <v>112868</v>
      </c>
      <c r="F931" s="31"/>
      <c r="G931" s="31">
        <f t="shared" si="217"/>
        <v>1.22</v>
      </c>
      <c r="H931" s="31">
        <v>1.35</v>
      </c>
      <c r="I931" s="31">
        <v>1.3</v>
      </c>
      <c r="J931" s="31"/>
      <c r="K931" s="30">
        <f t="shared" si="180"/>
        <v>241661.67480000001</v>
      </c>
      <c r="L931" s="30">
        <f t="shared" si="218"/>
        <v>1945124.9739999997</v>
      </c>
    </row>
    <row r="932" spans="1:12" ht="30" customHeight="1" x14ac:dyDescent="0.2">
      <c r="A932" s="27" t="s">
        <v>1539</v>
      </c>
      <c r="B932" s="27"/>
      <c r="C932" s="27" t="s">
        <v>1545</v>
      </c>
      <c r="D932" s="31">
        <f t="shared" si="219"/>
        <v>13.336000000000002</v>
      </c>
      <c r="E932" s="30">
        <v>112868</v>
      </c>
      <c r="F932" s="31"/>
      <c r="G932" s="31">
        <f t="shared" si="217"/>
        <v>1.22</v>
      </c>
      <c r="H932" s="31">
        <v>1.35</v>
      </c>
      <c r="I932" s="31">
        <v>1.3</v>
      </c>
      <c r="J932" s="31"/>
      <c r="K932" s="30">
        <f t="shared" si="180"/>
        <v>241661.67480000001</v>
      </c>
      <c r="L932" s="30">
        <f t="shared" si="218"/>
        <v>2186786.6487999996</v>
      </c>
    </row>
    <row r="933" spans="1:12" ht="30" customHeight="1" x14ac:dyDescent="0.2">
      <c r="A933" s="27" t="s">
        <v>1539</v>
      </c>
      <c r="B933" s="27"/>
      <c r="C933" s="27" t="s">
        <v>1546</v>
      </c>
      <c r="D933" s="31">
        <f t="shared" si="219"/>
        <v>15.120000000000003</v>
      </c>
      <c r="E933" s="30">
        <v>112868</v>
      </c>
      <c r="F933" s="31"/>
      <c r="G933" s="31">
        <f t="shared" si="217"/>
        <v>1.22</v>
      </c>
      <c r="H933" s="31">
        <v>1.35</v>
      </c>
      <c r="I933" s="31">
        <v>1.3</v>
      </c>
      <c r="J933" s="31"/>
      <c r="K933" s="30">
        <f t="shared" si="180"/>
        <v>241661.67480000001</v>
      </c>
      <c r="L933" s="30">
        <f t="shared" si="218"/>
        <v>2428448.3235999998</v>
      </c>
    </row>
    <row r="934" spans="1:12" ht="30" customHeight="1" x14ac:dyDescent="0.2">
      <c r="A934" s="27" t="s">
        <v>1539</v>
      </c>
      <c r="B934" s="27"/>
      <c r="C934" s="27" t="s">
        <v>1547</v>
      </c>
      <c r="D934" s="31">
        <f t="shared" si="219"/>
        <v>16.904000000000003</v>
      </c>
      <c r="E934" s="30">
        <v>112868</v>
      </c>
      <c r="F934" s="31"/>
      <c r="G934" s="31">
        <f t="shared" si="217"/>
        <v>1.22</v>
      </c>
      <c r="H934" s="31">
        <v>1.35</v>
      </c>
      <c r="I934" s="31">
        <v>1.3</v>
      </c>
      <c r="J934" s="31"/>
      <c r="K934" s="30">
        <f t="shared" si="180"/>
        <v>241661.67480000001</v>
      </c>
      <c r="L934" s="30">
        <f t="shared" si="218"/>
        <v>2670109.9983999999</v>
      </c>
    </row>
    <row r="935" spans="1:12" ht="30" customHeight="1" x14ac:dyDescent="0.2">
      <c r="A935" s="27" t="s">
        <v>1539</v>
      </c>
      <c r="B935" s="27"/>
      <c r="C935" s="27" t="s">
        <v>1548</v>
      </c>
      <c r="D935" s="31">
        <f t="shared" si="219"/>
        <v>18.688000000000002</v>
      </c>
      <c r="E935" s="30">
        <v>112868</v>
      </c>
      <c r="F935" s="31"/>
      <c r="G935" s="31">
        <f t="shared" si="217"/>
        <v>1.22</v>
      </c>
      <c r="H935" s="31">
        <v>1.35</v>
      </c>
      <c r="I935" s="31">
        <v>1.3</v>
      </c>
      <c r="J935" s="31"/>
      <c r="K935" s="30">
        <f t="shared" si="180"/>
        <v>241661.67480000001</v>
      </c>
      <c r="L935" s="30">
        <f t="shared" si="218"/>
        <v>2911771.6732000001</v>
      </c>
    </row>
    <row r="936" spans="1:12" ht="30" customHeight="1" x14ac:dyDescent="0.2">
      <c r="A936" s="27" t="s">
        <v>1539</v>
      </c>
      <c r="B936" s="27"/>
      <c r="C936" s="27" t="s">
        <v>1549</v>
      </c>
      <c r="D936" s="31">
        <f t="shared" si="219"/>
        <v>20.472000000000001</v>
      </c>
      <c r="E936" s="30">
        <v>112868</v>
      </c>
      <c r="F936" s="31"/>
      <c r="G936" s="31">
        <f t="shared" si="217"/>
        <v>1.22</v>
      </c>
      <c r="H936" s="31">
        <v>1.35</v>
      </c>
      <c r="I936" s="31">
        <v>1.3</v>
      </c>
      <c r="J936" s="31"/>
      <c r="K936" s="30">
        <f t="shared" si="180"/>
        <v>241661.67480000001</v>
      </c>
      <c r="L936" s="65">
        <f t="shared" si="218"/>
        <v>3153433.3480000002</v>
      </c>
    </row>
    <row r="937" spans="1:12" ht="30" customHeight="1" x14ac:dyDescent="0.2">
      <c r="A937" s="27" t="s">
        <v>1550</v>
      </c>
      <c r="B937" s="27"/>
      <c r="C937" s="27" t="s">
        <v>936</v>
      </c>
      <c r="D937" s="31">
        <v>1.766</v>
      </c>
      <c r="E937" s="30">
        <v>566782</v>
      </c>
      <c r="F937" s="31"/>
      <c r="G937" s="31"/>
      <c r="H937" s="31"/>
      <c r="I937" s="31">
        <v>1.3</v>
      </c>
      <c r="J937" s="31"/>
      <c r="K937" s="30">
        <f t="shared" si="180"/>
        <v>736816.6</v>
      </c>
      <c r="L937" s="30">
        <f>K937</f>
        <v>736816.6</v>
      </c>
    </row>
    <row r="938" spans="1:12" ht="30" customHeight="1" x14ac:dyDescent="0.2">
      <c r="A938" s="27" t="s">
        <v>1550</v>
      </c>
      <c r="B938" s="27"/>
      <c r="C938" s="27" t="s">
        <v>1551</v>
      </c>
      <c r="D938" s="31">
        <v>3.633</v>
      </c>
      <c r="E938" s="30">
        <v>41415</v>
      </c>
      <c r="F938" s="31"/>
      <c r="G938" s="31">
        <f t="shared" ref="G938:G972" si="220">1.22</f>
        <v>1.22</v>
      </c>
      <c r="H938" s="31">
        <v>1.35</v>
      </c>
      <c r="I938" s="31">
        <v>1.3</v>
      </c>
      <c r="J938" s="31"/>
      <c r="K938" s="30">
        <f t="shared" si="180"/>
        <v>88673.656500000012</v>
      </c>
      <c r="L938" s="30">
        <f t="shared" ref="L938:L972" si="221">L937+K938</f>
        <v>825490.25650000002</v>
      </c>
    </row>
    <row r="939" spans="1:12" ht="30" customHeight="1" x14ac:dyDescent="0.2">
      <c r="A939" s="27" t="s">
        <v>1550</v>
      </c>
      <c r="B939" s="27"/>
      <c r="C939" s="27" t="s">
        <v>1552</v>
      </c>
      <c r="D939" s="31">
        <f t="shared" ref="D939:D971" si="222">D938+0.8005</f>
        <v>4.4335000000000004</v>
      </c>
      <c r="E939" s="30">
        <v>41415</v>
      </c>
      <c r="F939" s="31"/>
      <c r="G939" s="31">
        <f t="shared" si="220"/>
        <v>1.22</v>
      </c>
      <c r="H939" s="31">
        <v>1.35</v>
      </c>
      <c r="I939" s="31">
        <v>1.3</v>
      </c>
      <c r="J939" s="31"/>
      <c r="K939" s="30">
        <f t="shared" si="180"/>
        <v>88673.656500000012</v>
      </c>
      <c r="L939" s="30">
        <f t="shared" si="221"/>
        <v>914163.91300000006</v>
      </c>
    </row>
    <row r="940" spans="1:12" ht="30" customHeight="1" x14ac:dyDescent="0.2">
      <c r="A940" s="27" t="s">
        <v>1550</v>
      </c>
      <c r="B940" s="27"/>
      <c r="C940" s="27" t="s">
        <v>1553</v>
      </c>
      <c r="D940" s="31">
        <f t="shared" si="222"/>
        <v>5.234</v>
      </c>
      <c r="E940" s="30">
        <v>41415</v>
      </c>
      <c r="F940" s="31"/>
      <c r="G940" s="31">
        <f t="shared" si="220"/>
        <v>1.22</v>
      </c>
      <c r="H940" s="31">
        <v>1.35</v>
      </c>
      <c r="I940" s="31">
        <v>1.3</v>
      </c>
      <c r="J940" s="31"/>
      <c r="K940" s="30">
        <f t="shared" si="180"/>
        <v>88673.656500000012</v>
      </c>
      <c r="L940" s="30">
        <f t="shared" si="221"/>
        <v>1002837.5695000001</v>
      </c>
    </row>
    <row r="941" spans="1:12" ht="30" customHeight="1" x14ac:dyDescent="0.2">
      <c r="A941" s="27" t="s">
        <v>1550</v>
      </c>
      <c r="B941" s="27"/>
      <c r="C941" s="27" t="s">
        <v>1554</v>
      </c>
      <c r="D941" s="31">
        <f t="shared" si="222"/>
        <v>6.0344999999999995</v>
      </c>
      <c r="E941" s="30">
        <v>41415</v>
      </c>
      <c r="F941" s="31"/>
      <c r="G941" s="31">
        <f t="shared" si="220"/>
        <v>1.22</v>
      </c>
      <c r="H941" s="31">
        <v>1.35</v>
      </c>
      <c r="I941" s="31">
        <v>1.3</v>
      </c>
      <c r="J941" s="31"/>
      <c r="K941" s="30">
        <f t="shared" si="180"/>
        <v>88673.656500000012</v>
      </c>
      <c r="L941" s="30">
        <f t="shared" si="221"/>
        <v>1091511.226</v>
      </c>
    </row>
    <row r="942" spans="1:12" ht="30" customHeight="1" x14ac:dyDescent="0.2">
      <c r="A942" s="27" t="s">
        <v>1550</v>
      </c>
      <c r="B942" s="27"/>
      <c r="C942" s="27" t="s">
        <v>1555</v>
      </c>
      <c r="D942" s="31">
        <f t="shared" si="222"/>
        <v>6.8349999999999991</v>
      </c>
      <c r="E942" s="30">
        <v>41415</v>
      </c>
      <c r="F942" s="31"/>
      <c r="G942" s="31">
        <f t="shared" si="220"/>
        <v>1.22</v>
      </c>
      <c r="H942" s="31">
        <v>1.35</v>
      </c>
      <c r="I942" s="31">
        <v>1.3</v>
      </c>
      <c r="J942" s="31"/>
      <c r="K942" s="30">
        <f t="shared" si="180"/>
        <v>88673.656500000012</v>
      </c>
      <c r="L942" s="30">
        <f t="shared" si="221"/>
        <v>1180184.8825000001</v>
      </c>
    </row>
    <row r="943" spans="1:12" ht="30" customHeight="1" x14ac:dyDescent="0.2">
      <c r="A943" s="27" t="s">
        <v>1550</v>
      </c>
      <c r="B943" s="27"/>
      <c r="C943" s="27" t="s">
        <v>1556</v>
      </c>
      <c r="D943" s="31">
        <f t="shared" si="222"/>
        <v>7.6354999999999986</v>
      </c>
      <c r="E943" s="30">
        <v>41415</v>
      </c>
      <c r="F943" s="31"/>
      <c r="G943" s="31">
        <f t="shared" si="220"/>
        <v>1.22</v>
      </c>
      <c r="H943" s="31">
        <v>1.35</v>
      </c>
      <c r="I943" s="31">
        <v>1.3</v>
      </c>
      <c r="J943" s="31"/>
      <c r="K943" s="30">
        <f t="shared" si="180"/>
        <v>88673.656500000012</v>
      </c>
      <c r="L943" s="30">
        <f t="shared" si="221"/>
        <v>1268858.5390000001</v>
      </c>
    </row>
    <row r="944" spans="1:12" ht="30" customHeight="1" x14ac:dyDescent="0.2">
      <c r="A944" s="27" t="s">
        <v>1550</v>
      </c>
      <c r="B944" s="27"/>
      <c r="C944" s="27" t="s">
        <v>1557</v>
      </c>
      <c r="D944" s="31">
        <f t="shared" si="222"/>
        <v>8.4359999999999982</v>
      </c>
      <c r="E944" s="30">
        <v>41415</v>
      </c>
      <c r="F944" s="31"/>
      <c r="G944" s="31">
        <f t="shared" si="220"/>
        <v>1.22</v>
      </c>
      <c r="H944" s="31">
        <v>1.35</v>
      </c>
      <c r="I944" s="31">
        <v>1.3</v>
      </c>
      <c r="J944" s="31"/>
      <c r="K944" s="30">
        <f t="shared" si="180"/>
        <v>88673.656500000012</v>
      </c>
      <c r="L944" s="30">
        <f t="shared" si="221"/>
        <v>1357532.1955000001</v>
      </c>
    </row>
    <row r="945" spans="1:12" ht="30" customHeight="1" x14ac:dyDescent="0.2">
      <c r="A945" s="27" t="s">
        <v>1550</v>
      </c>
      <c r="B945" s="27"/>
      <c r="C945" s="27" t="s">
        <v>1558</v>
      </c>
      <c r="D945" s="31">
        <f t="shared" si="222"/>
        <v>9.2364999999999977</v>
      </c>
      <c r="E945" s="30">
        <v>41415</v>
      </c>
      <c r="F945" s="31"/>
      <c r="G945" s="31">
        <f t="shared" si="220"/>
        <v>1.22</v>
      </c>
      <c r="H945" s="31">
        <v>1.35</v>
      </c>
      <c r="I945" s="31">
        <v>1.3</v>
      </c>
      <c r="J945" s="31"/>
      <c r="K945" s="30">
        <f t="shared" si="180"/>
        <v>88673.656500000012</v>
      </c>
      <c r="L945" s="30">
        <f t="shared" si="221"/>
        <v>1446205.8520000002</v>
      </c>
    </row>
    <row r="946" spans="1:12" ht="30" customHeight="1" x14ac:dyDescent="0.2">
      <c r="A946" s="27" t="s">
        <v>1550</v>
      </c>
      <c r="B946" s="27"/>
      <c r="C946" s="27" t="s">
        <v>1559</v>
      </c>
      <c r="D946" s="31">
        <f t="shared" si="222"/>
        <v>10.036999999999997</v>
      </c>
      <c r="E946" s="30">
        <v>41415</v>
      </c>
      <c r="F946" s="31"/>
      <c r="G946" s="31">
        <f t="shared" si="220"/>
        <v>1.22</v>
      </c>
      <c r="H946" s="31">
        <v>1.35</v>
      </c>
      <c r="I946" s="31">
        <v>1.3</v>
      </c>
      <c r="J946" s="31"/>
      <c r="K946" s="30">
        <f t="shared" si="180"/>
        <v>88673.656500000012</v>
      </c>
      <c r="L946" s="30">
        <f t="shared" si="221"/>
        <v>1534879.5085000002</v>
      </c>
    </row>
    <row r="947" spans="1:12" ht="30" customHeight="1" x14ac:dyDescent="0.2">
      <c r="A947" s="27" t="s">
        <v>1550</v>
      </c>
      <c r="B947" s="27"/>
      <c r="C947" s="27" t="s">
        <v>1560</v>
      </c>
      <c r="D947" s="31">
        <f t="shared" si="222"/>
        <v>10.837499999999997</v>
      </c>
      <c r="E947" s="30">
        <v>41415</v>
      </c>
      <c r="F947" s="31"/>
      <c r="G947" s="31">
        <f t="shared" si="220"/>
        <v>1.22</v>
      </c>
      <c r="H947" s="31">
        <v>1.35</v>
      </c>
      <c r="I947" s="31">
        <v>1.3</v>
      </c>
      <c r="J947" s="31"/>
      <c r="K947" s="30">
        <f t="shared" si="180"/>
        <v>88673.656500000012</v>
      </c>
      <c r="L947" s="30">
        <f t="shared" si="221"/>
        <v>1623553.1650000003</v>
      </c>
    </row>
    <row r="948" spans="1:12" ht="30" customHeight="1" x14ac:dyDescent="0.2">
      <c r="A948" s="27" t="s">
        <v>1550</v>
      </c>
      <c r="B948" s="27"/>
      <c r="C948" s="27" t="s">
        <v>1561</v>
      </c>
      <c r="D948" s="31">
        <f t="shared" si="222"/>
        <v>11.637999999999996</v>
      </c>
      <c r="E948" s="30">
        <v>41415</v>
      </c>
      <c r="F948" s="31"/>
      <c r="G948" s="31">
        <f t="shared" si="220"/>
        <v>1.22</v>
      </c>
      <c r="H948" s="31">
        <v>1.35</v>
      </c>
      <c r="I948" s="31">
        <v>1.3</v>
      </c>
      <c r="J948" s="31"/>
      <c r="K948" s="30">
        <f t="shared" si="180"/>
        <v>88673.656500000012</v>
      </c>
      <c r="L948" s="30">
        <f t="shared" si="221"/>
        <v>1712226.8215000003</v>
      </c>
    </row>
    <row r="949" spans="1:12" ht="30" customHeight="1" x14ac:dyDescent="0.2">
      <c r="A949" s="27" t="s">
        <v>1550</v>
      </c>
      <c r="B949" s="27"/>
      <c r="C949" s="27" t="s">
        <v>1562</v>
      </c>
      <c r="D949" s="31">
        <f t="shared" si="222"/>
        <v>12.438499999999996</v>
      </c>
      <c r="E949" s="30">
        <v>41415</v>
      </c>
      <c r="F949" s="31"/>
      <c r="G949" s="31">
        <f t="shared" si="220"/>
        <v>1.22</v>
      </c>
      <c r="H949" s="31">
        <v>1.35</v>
      </c>
      <c r="I949" s="31">
        <v>1.3</v>
      </c>
      <c r="J949" s="31"/>
      <c r="K949" s="30">
        <f t="shared" si="180"/>
        <v>88673.656500000012</v>
      </c>
      <c r="L949" s="30">
        <f t="shared" si="221"/>
        <v>1800900.4780000004</v>
      </c>
    </row>
    <row r="950" spans="1:12" ht="30" customHeight="1" x14ac:dyDescent="0.2">
      <c r="A950" s="27" t="s">
        <v>1550</v>
      </c>
      <c r="B950" s="27"/>
      <c r="C950" s="27" t="s">
        <v>1563</v>
      </c>
      <c r="D950" s="31">
        <f t="shared" si="222"/>
        <v>13.238999999999995</v>
      </c>
      <c r="E950" s="30">
        <v>41415</v>
      </c>
      <c r="F950" s="31"/>
      <c r="G950" s="31">
        <f t="shared" si="220"/>
        <v>1.22</v>
      </c>
      <c r="H950" s="31">
        <v>1.35</v>
      </c>
      <c r="I950" s="31">
        <v>1.3</v>
      </c>
      <c r="J950" s="31"/>
      <c r="K950" s="30">
        <f t="shared" si="180"/>
        <v>88673.656500000012</v>
      </c>
      <c r="L950" s="30">
        <f t="shared" si="221"/>
        <v>1889574.1345000004</v>
      </c>
    </row>
    <row r="951" spans="1:12" ht="30" customHeight="1" x14ac:dyDescent="0.2">
      <c r="A951" s="27" t="s">
        <v>1550</v>
      </c>
      <c r="B951" s="27"/>
      <c r="C951" s="27" t="s">
        <v>1564</v>
      </c>
      <c r="D951" s="31">
        <f t="shared" si="222"/>
        <v>14.039499999999995</v>
      </c>
      <c r="E951" s="30">
        <v>41415</v>
      </c>
      <c r="F951" s="31"/>
      <c r="G951" s="31">
        <f t="shared" si="220"/>
        <v>1.22</v>
      </c>
      <c r="H951" s="31">
        <v>1.35</v>
      </c>
      <c r="I951" s="31">
        <v>1.3</v>
      </c>
      <c r="J951" s="31"/>
      <c r="K951" s="30">
        <f t="shared" si="180"/>
        <v>88673.656500000012</v>
      </c>
      <c r="L951" s="30">
        <f t="shared" si="221"/>
        <v>1978247.7910000004</v>
      </c>
    </row>
    <row r="952" spans="1:12" ht="30" customHeight="1" x14ac:dyDescent="0.2">
      <c r="A952" s="27" t="s">
        <v>1550</v>
      </c>
      <c r="B952" s="27"/>
      <c r="C952" s="27" t="s">
        <v>1565</v>
      </c>
      <c r="D952" s="31">
        <f t="shared" si="222"/>
        <v>14.839999999999995</v>
      </c>
      <c r="E952" s="30">
        <v>41415</v>
      </c>
      <c r="F952" s="31"/>
      <c r="G952" s="31">
        <f t="shared" si="220"/>
        <v>1.22</v>
      </c>
      <c r="H952" s="31">
        <v>1.35</v>
      </c>
      <c r="I952" s="31">
        <v>1.3</v>
      </c>
      <c r="J952" s="31"/>
      <c r="K952" s="30">
        <f t="shared" si="180"/>
        <v>88673.656500000012</v>
      </c>
      <c r="L952" s="30">
        <f t="shared" si="221"/>
        <v>2066921.4475000005</v>
      </c>
    </row>
    <row r="953" spans="1:12" ht="30" customHeight="1" x14ac:dyDescent="0.2">
      <c r="A953" s="27" t="s">
        <v>1550</v>
      </c>
      <c r="B953" s="27"/>
      <c r="C953" s="27" t="s">
        <v>1566</v>
      </c>
      <c r="D953" s="31">
        <f t="shared" si="222"/>
        <v>15.640499999999994</v>
      </c>
      <c r="E953" s="30">
        <v>41415</v>
      </c>
      <c r="F953" s="31"/>
      <c r="G953" s="31">
        <f t="shared" si="220"/>
        <v>1.22</v>
      </c>
      <c r="H953" s="31">
        <v>1.35</v>
      </c>
      <c r="I953" s="31">
        <v>1.3</v>
      </c>
      <c r="J953" s="31"/>
      <c r="K953" s="30">
        <f t="shared" si="180"/>
        <v>88673.656500000012</v>
      </c>
      <c r="L953" s="30">
        <f t="shared" si="221"/>
        <v>2155595.1040000003</v>
      </c>
    </row>
    <row r="954" spans="1:12" ht="30" customHeight="1" x14ac:dyDescent="0.2">
      <c r="A954" s="27" t="s">
        <v>1550</v>
      </c>
      <c r="B954" s="27"/>
      <c r="C954" s="27" t="s">
        <v>1567</v>
      </c>
      <c r="D954" s="31">
        <f t="shared" si="222"/>
        <v>16.440999999999995</v>
      </c>
      <c r="E954" s="30">
        <v>41415</v>
      </c>
      <c r="F954" s="31"/>
      <c r="G954" s="31">
        <f t="shared" si="220"/>
        <v>1.22</v>
      </c>
      <c r="H954" s="31">
        <v>1.35</v>
      </c>
      <c r="I954" s="31">
        <v>1.3</v>
      </c>
      <c r="J954" s="31"/>
      <c r="K954" s="30">
        <f t="shared" si="180"/>
        <v>88673.656500000012</v>
      </c>
      <c r="L954" s="30">
        <f t="shared" si="221"/>
        <v>2244268.7605000003</v>
      </c>
    </row>
    <row r="955" spans="1:12" ht="30" customHeight="1" x14ac:dyDescent="0.2">
      <c r="A955" s="27" t="s">
        <v>1550</v>
      </c>
      <c r="B955" s="27"/>
      <c r="C955" s="27" t="s">
        <v>1568</v>
      </c>
      <c r="D955" s="31">
        <f t="shared" si="222"/>
        <v>17.241499999999995</v>
      </c>
      <c r="E955" s="30">
        <v>41415</v>
      </c>
      <c r="F955" s="31"/>
      <c r="G955" s="31">
        <f t="shared" si="220"/>
        <v>1.22</v>
      </c>
      <c r="H955" s="31">
        <v>1.35</v>
      </c>
      <c r="I955" s="31">
        <v>1.3</v>
      </c>
      <c r="J955" s="31"/>
      <c r="K955" s="30">
        <f t="shared" si="180"/>
        <v>88673.656500000012</v>
      </c>
      <c r="L955" s="30">
        <f t="shared" si="221"/>
        <v>2332942.4170000004</v>
      </c>
    </row>
    <row r="956" spans="1:12" ht="30" customHeight="1" x14ac:dyDescent="0.2">
      <c r="A956" s="27" t="s">
        <v>1550</v>
      </c>
      <c r="B956" s="27"/>
      <c r="C956" s="27" t="s">
        <v>1569</v>
      </c>
      <c r="D956" s="31">
        <f t="shared" si="222"/>
        <v>18.041999999999994</v>
      </c>
      <c r="E956" s="30">
        <v>41415</v>
      </c>
      <c r="F956" s="31"/>
      <c r="G956" s="31">
        <f t="shared" si="220"/>
        <v>1.22</v>
      </c>
      <c r="H956" s="31">
        <v>1.35</v>
      </c>
      <c r="I956" s="31">
        <v>1.3</v>
      </c>
      <c r="J956" s="31"/>
      <c r="K956" s="30">
        <f t="shared" si="180"/>
        <v>88673.656500000012</v>
      </c>
      <c r="L956" s="30">
        <f t="shared" si="221"/>
        <v>2421616.0735000004</v>
      </c>
    </row>
    <row r="957" spans="1:12" ht="30" customHeight="1" x14ac:dyDescent="0.2">
      <c r="A957" s="27" t="s">
        <v>1550</v>
      </c>
      <c r="B957" s="27"/>
      <c r="C957" s="27" t="s">
        <v>1570</v>
      </c>
      <c r="D957" s="31">
        <f t="shared" si="222"/>
        <v>18.842499999999994</v>
      </c>
      <c r="E957" s="30">
        <v>41415</v>
      </c>
      <c r="F957" s="31"/>
      <c r="G957" s="31">
        <f t="shared" si="220"/>
        <v>1.22</v>
      </c>
      <c r="H957" s="31">
        <v>1.35</v>
      </c>
      <c r="I957" s="31">
        <v>1.3</v>
      </c>
      <c r="J957" s="31"/>
      <c r="K957" s="30">
        <f t="shared" si="180"/>
        <v>88673.656500000012</v>
      </c>
      <c r="L957" s="30">
        <f t="shared" si="221"/>
        <v>2510289.7300000004</v>
      </c>
    </row>
    <row r="958" spans="1:12" ht="30" customHeight="1" x14ac:dyDescent="0.2">
      <c r="A958" s="27" t="s">
        <v>1550</v>
      </c>
      <c r="B958" s="27"/>
      <c r="C958" s="27" t="s">
        <v>1571</v>
      </c>
      <c r="D958" s="31">
        <f t="shared" si="222"/>
        <v>19.642999999999994</v>
      </c>
      <c r="E958" s="30">
        <v>41415</v>
      </c>
      <c r="F958" s="31"/>
      <c r="G958" s="31">
        <f t="shared" si="220"/>
        <v>1.22</v>
      </c>
      <c r="H958" s="31">
        <v>1.35</v>
      </c>
      <c r="I958" s="31">
        <v>1.3</v>
      </c>
      <c r="J958" s="31"/>
      <c r="K958" s="30">
        <f t="shared" si="180"/>
        <v>88673.656500000012</v>
      </c>
      <c r="L958" s="30">
        <f t="shared" si="221"/>
        <v>2598963.3865000005</v>
      </c>
    </row>
    <row r="959" spans="1:12" ht="30" customHeight="1" x14ac:dyDescent="0.2">
      <c r="A959" s="27" t="s">
        <v>1550</v>
      </c>
      <c r="B959" s="27"/>
      <c r="C959" s="27" t="s">
        <v>1572</v>
      </c>
      <c r="D959" s="31">
        <f t="shared" si="222"/>
        <v>20.443499999999993</v>
      </c>
      <c r="E959" s="30">
        <v>41415</v>
      </c>
      <c r="F959" s="31"/>
      <c r="G959" s="31">
        <f t="shared" si="220"/>
        <v>1.22</v>
      </c>
      <c r="H959" s="31">
        <v>1.35</v>
      </c>
      <c r="I959" s="31">
        <v>1.3</v>
      </c>
      <c r="J959" s="31"/>
      <c r="K959" s="30">
        <f t="shared" si="180"/>
        <v>88673.656500000012</v>
      </c>
      <c r="L959" s="30">
        <f t="shared" si="221"/>
        <v>2687637.0430000005</v>
      </c>
    </row>
    <row r="960" spans="1:12" ht="30" customHeight="1" x14ac:dyDescent="0.2">
      <c r="A960" s="27" t="s">
        <v>1550</v>
      </c>
      <c r="B960" s="27"/>
      <c r="C960" s="27" t="s">
        <v>1573</v>
      </c>
      <c r="D960" s="31">
        <f t="shared" si="222"/>
        <v>21.243999999999993</v>
      </c>
      <c r="E960" s="30">
        <v>41415</v>
      </c>
      <c r="F960" s="31"/>
      <c r="G960" s="31">
        <f t="shared" si="220"/>
        <v>1.22</v>
      </c>
      <c r="H960" s="31">
        <v>1.35</v>
      </c>
      <c r="I960" s="31">
        <v>1.3</v>
      </c>
      <c r="J960" s="31"/>
      <c r="K960" s="30">
        <f t="shared" si="180"/>
        <v>88673.656500000012</v>
      </c>
      <c r="L960" s="30">
        <f t="shared" si="221"/>
        <v>2776310.6995000006</v>
      </c>
    </row>
    <row r="961" spans="1:12" ht="30" customHeight="1" x14ac:dyDescent="0.2">
      <c r="A961" s="27" t="s">
        <v>1550</v>
      </c>
      <c r="B961" s="27"/>
      <c r="C961" s="27" t="s">
        <v>1574</v>
      </c>
      <c r="D961" s="31">
        <f t="shared" si="222"/>
        <v>22.044499999999992</v>
      </c>
      <c r="E961" s="30">
        <v>41415</v>
      </c>
      <c r="F961" s="31"/>
      <c r="G961" s="31">
        <f t="shared" si="220"/>
        <v>1.22</v>
      </c>
      <c r="H961" s="31">
        <v>1.35</v>
      </c>
      <c r="I961" s="31">
        <v>1.3</v>
      </c>
      <c r="J961" s="31"/>
      <c r="K961" s="30">
        <f t="shared" si="180"/>
        <v>88673.656500000012</v>
      </c>
      <c r="L961" s="30">
        <f t="shared" si="221"/>
        <v>2864984.3560000006</v>
      </c>
    </row>
    <row r="962" spans="1:12" ht="30" customHeight="1" x14ac:dyDescent="0.2">
      <c r="A962" s="27" t="s">
        <v>1550</v>
      </c>
      <c r="B962" s="27"/>
      <c r="C962" s="27" t="s">
        <v>1575</v>
      </c>
      <c r="D962" s="31">
        <f t="shared" si="222"/>
        <v>22.844999999999992</v>
      </c>
      <c r="E962" s="30">
        <v>41415</v>
      </c>
      <c r="F962" s="31"/>
      <c r="G962" s="31">
        <f t="shared" si="220"/>
        <v>1.22</v>
      </c>
      <c r="H962" s="31">
        <v>1.35</v>
      </c>
      <c r="I962" s="31">
        <v>1.3</v>
      </c>
      <c r="J962" s="31"/>
      <c r="K962" s="30">
        <f t="shared" si="180"/>
        <v>88673.656500000012</v>
      </c>
      <c r="L962" s="30">
        <f t="shared" si="221"/>
        <v>2953658.0125000007</v>
      </c>
    </row>
    <row r="963" spans="1:12" ht="30" customHeight="1" x14ac:dyDescent="0.2">
      <c r="A963" s="27" t="s">
        <v>1550</v>
      </c>
      <c r="B963" s="27"/>
      <c r="C963" s="27" t="s">
        <v>1576</v>
      </c>
      <c r="D963" s="31">
        <f t="shared" si="222"/>
        <v>23.645499999999991</v>
      </c>
      <c r="E963" s="30">
        <v>41415</v>
      </c>
      <c r="F963" s="31"/>
      <c r="G963" s="31">
        <f t="shared" si="220"/>
        <v>1.22</v>
      </c>
      <c r="H963" s="31">
        <v>1.35</v>
      </c>
      <c r="I963" s="31">
        <v>1.3</v>
      </c>
      <c r="J963" s="31"/>
      <c r="K963" s="30">
        <f t="shared" si="180"/>
        <v>88673.656500000012</v>
      </c>
      <c r="L963" s="30">
        <f t="shared" si="221"/>
        <v>3042331.6690000007</v>
      </c>
    </row>
    <row r="964" spans="1:12" ht="30" customHeight="1" x14ac:dyDescent="0.2">
      <c r="A964" s="27" t="s">
        <v>1550</v>
      </c>
      <c r="B964" s="27"/>
      <c r="C964" s="27" t="s">
        <v>1577</v>
      </c>
      <c r="D964" s="31">
        <f t="shared" si="222"/>
        <v>24.445999999999991</v>
      </c>
      <c r="E964" s="30">
        <v>41415</v>
      </c>
      <c r="F964" s="31"/>
      <c r="G964" s="31">
        <f t="shared" si="220"/>
        <v>1.22</v>
      </c>
      <c r="H964" s="31">
        <v>1.35</v>
      </c>
      <c r="I964" s="31">
        <v>1.3</v>
      </c>
      <c r="J964" s="31"/>
      <c r="K964" s="30">
        <f t="shared" si="180"/>
        <v>88673.656500000012</v>
      </c>
      <c r="L964" s="30">
        <f t="shared" si="221"/>
        <v>3131005.3255000007</v>
      </c>
    </row>
    <row r="965" spans="1:12" ht="30" customHeight="1" x14ac:dyDescent="0.2">
      <c r="A965" s="27" t="s">
        <v>1550</v>
      </c>
      <c r="B965" s="27"/>
      <c r="C965" s="27" t="s">
        <v>1578</v>
      </c>
      <c r="D965" s="31">
        <f t="shared" si="222"/>
        <v>25.24649999999999</v>
      </c>
      <c r="E965" s="30">
        <v>41415</v>
      </c>
      <c r="F965" s="31"/>
      <c r="G965" s="31">
        <f t="shared" si="220"/>
        <v>1.22</v>
      </c>
      <c r="H965" s="31">
        <v>1.35</v>
      </c>
      <c r="I965" s="31">
        <v>1.3</v>
      </c>
      <c r="J965" s="31"/>
      <c r="K965" s="30">
        <f t="shared" si="180"/>
        <v>88673.656500000012</v>
      </c>
      <c r="L965" s="30">
        <f t="shared" si="221"/>
        <v>3219678.9820000008</v>
      </c>
    </row>
    <row r="966" spans="1:12" ht="30" customHeight="1" x14ac:dyDescent="0.2">
      <c r="A966" s="27" t="s">
        <v>1550</v>
      </c>
      <c r="B966" s="27"/>
      <c r="C966" s="27" t="s">
        <v>1579</v>
      </c>
      <c r="D966" s="31">
        <f t="shared" si="222"/>
        <v>26.04699999999999</v>
      </c>
      <c r="E966" s="30">
        <v>41415</v>
      </c>
      <c r="F966" s="31"/>
      <c r="G966" s="31">
        <f t="shared" si="220"/>
        <v>1.22</v>
      </c>
      <c r="H966" s="31">
        <v>1.35</v>
      </c>
      <c r="I966" s="31">
        <v>1.3</v>
      </c>
      <c r="J966" s="31"/>
      <c r="K966" s="30">
        <f t="shared" si="180"/>
        <v>88673.656500000012</v>
      </c>
      <c r="L966" s="30">
        <f t="shared" si="221"/>
        <v>3308352.6385000008</v>
      </c>
    </row>
    <row r="967" spans="1:12" ht="30" customHeight="1" x14ac:dyDescent="0.2">
      <c r="A967" s="27" t="s">
        <v>1550</v>
      </c>
      <c r="B967" s="27"/>
      <c r="C967" s="27" t="s">
        <v>1580</v>
      </c>
      <c r="D967" s="31">
        <f t="shared" si="222"/>
        <v>26.847499999999989</v>
      </c>
      <c r="E967" s="30">
        <v>41415</v>
      </c>
      <c r="F967" s="31"/>
      <c r="G967" s="31">
        <f t="shared" si="220"/>
        <v>1.22</v>
      </c>
      <c r="H967" s="31">
        <v>1.35</v>
      </c>
      <c r="I967" s="31">
        <v>1.3</v>
      </c>
      <c r="J967" s="31"/>
      <c r="K967" s="30">
        <f t="shared" si="180"/>
        <v>88673.656500000012</v>
      </c>
      <c r="L967" s="30">
        <f t="shared" si="221"/>
        <v>3397026.2950000009</v>
      </c>
    </row>
    <row r="968" spans="1:12" ht="30" customHeight="1" x14ac:dyDescent="0.2">
      <c r="A968" s="27" t="s">
        <v>1550</v>
      </c>
      <c r="B968" s="27"/>
      <c r="C968" s="27" t="s">
        <v>1581</v>
      </c>
      <c r="D968" s="31">
        <f t="shared" si="222"/>
        <v>27.647999999999989</v>
      </c>
      <c r="E968" s="30">
        <v>41415</v>
      </c>
      <c r="F968" s="31"/>
      <c r="G968" s="31">
        <f t="shared" si="220"/>
        <v>1.22</v>
      </c>
      <c r="H968" s="31">
        <v>1.35</v>
      </c>
      <c r="I968" s="31">
        <v>1.3</v>
      </c>
      <c r="J968" s="31"/>
      <c r="K968" s="30">
        <f t="shared" si="180"/>
        <v>88673.656500000012</v>
      </c>
      <c r="L968" s="30">
        <f t="shared" si="221"/>
        <v>3485699.9515000009</v>
      </c>
    </row>
    <row r="969" spans="1:12" ht="30" customHeight="1" x14ac:dyDescent="0.2">
      <c r="A969" s="27" t="s">
        <v>1550</v>
      </c>
      <c r="B969" s="27"/>
      <c r="C969" s="27" t="s">
        <v>1582</v>
      </c>
      <c r="D969" s="31">
        <f t="shared" si="222"/>
        <v>28.448499999999989</v>
      </c>
      <c r="E969" s="30">
        <v>41415</v>
      </c>
      <c r="F969" s="31"/>
      <c r="G969" s="31">
        <f t="shared" si="220"/>
        <v>1.22</v>
      </c>
      <c r="H969" s="31">
        <v>1.35</v>
      </c>
      <c r="I969" s="31">
        <v>1.3</v>
      </c>
      <c r="J969" s="31"/>
      <c r="K969" s="30">
        <f t="shared" si="180"/>
        <v>88673.656500000012</v>
      </c>
      <c r="L969" s="30">
        <f t="shared" si="221"/>
        <v>3574373.6080000009</v>
      </c>
    </row>
    <row r="970" spans="1:12" ht="30" customHeight="1" x14ac:dyDescent="0.2">
      <c r="A970" s="27" t="s">
        <v>1550</v>
      </c>
      <c r="B970" s="27"/>
      <c r="C970" s="27" t="s">
        <v>1583</v>
      </c>
      <c r="D970" s="31">
        <f t="shared" si="222"/>
        <v>29.248999999999988</v>
      </c>
      <c r="E970" s="30">
        <v>41415</v>
      </c>
      <c r="F970" s="31"/>
      <c r="G970" s="31">
        <f t="shared" si="220"/>
        <v>1.22</v>
      </c>
      <c r="H970" s="31">
        <v>1.35</v>
      </c>
      <c r="I970" s="31">
        <v>1.3</v>
      </c>
      <c r="J970" s="31"/>
      <c r="K970" s="30">
        <f t="shared" si="180"/>
        <v>88673.656500000012</v>
      </c>
      <c r="L970" s="30">
        <f t="shared" si="221"/>
        <v>3663047.264500001</v>
      </c>
    </row>
    <row r="971" spans="1:12" ht="30" customHeight="1" x14ac:dyDescent="0.2">
      <c r="A971" s="27" t="s">
        <v>1550</v>
      </c>
      <c r="B971" s="27"/>
      <c r="C971" s="27" t="s">
        <v>1584</v>
      </c>
      <c r="D971" s="31">
        <f t="shared" si="222"/>
        <v>30.049499999999988</v>
      </c>
      <c r="E971" s="30">
        <v>41415</v>
      </c>
      <c r="F971" s="31"/>
      <c r="G971" s="31">
        <f t="shared" si="220"/>
        <v>1.22</v>
      </c>
      <c r="H971" s="31">
        <v>1.35</v>
      </c>
      <c r="I971" s="31">
        <v>1.3</v>
      </c>
      <c r="J971" s="31"/>
      <c r="K971" s="30">
        <f t="shared" si="180"/>
        <v>88673.656500000012</v>
      </c>
      <c r="L971" s="30">
        <f t="shared" si="221"/>
        <v>3751720.921000001</v>
      </c>
    </row>
    <row r="972" spans="1:12" ht="30" customHeight="1" x14ac:dyDescent="0.2">
      <c r="A972" s="27" t="s">
        <v>1550</v>
      </c>
      <c r="B972" s="27"/>
      <c r="C972" s="27" t="s">
        <v>1585</v>
      </c>
      <c r="D972" s="31">
        <v>30.85</v>
      </c>
      <c r="E972" s="30">
        <v>41415</v>
      </c>
      <c r="F972" s="31"/>
      <c r="G972" s="31">
        <f t="shared" si="220"/>
        <v>1.22</v>
      </c>
      <c r="H972" s="31">
        <v>1.35</v>
      </c>
      <c r="I972" s="31">
        <v>1.3</v>
      </c>
      <c r="J972" s="31"/>
      <c r="K972" s="30">
        <f t="shared" si="180"/>
        <v>88673.656500000012</v>
      </c>
      <c r="L972" s="65">
        <f t="shared" si="221"/>
        <v>3840394.5775000011</v>
      </c>
    </row>
    <row r="973" spans="1:12" ht="30" customHeight="1" x14ac:dyDescent="0.2">
      <c r="A973" s="27" t="s">
        <v>1586</v>
      </c>
      <c r="B973" s="27"/>
      <c r="C973" s="27" t="s">
        <v>1001</v>
      </c>
      <c r="D973" s="31">
        <v>0.28299999999999997</v>
      </c>
      <c r="E973" s="30">
        <v>87799</v>
      </c>
      <c r="F973" s="31"/>
      <c r="G973" s="31"/>
      <c r="H973" s="31">
        <v>1.35</v>
      </c>
      <c r="I973" s="31">
        <v>1.3</v>
      </c>
      <c r="J973" s="31"/>
      <c r="K973" s="30">
        <f t="shared" si="180"/>
        <v>154087.24500000002</v>
      </c>
      <c r="L973" s="30">
        <f>K973</f>
        <v>154087.24500000002</v>
      </c>
    </row>
    <row r="974" spans="1:12" ht="30" customHeight="1" x14ac:dyDescent="0.2">
      <c r="A974" s="27" t="s">
        <v>1586</v>
      </c>
      <c r="B974" s="27"/>
      <c r="C974" s="27" t="s">
        <v>1160</v>
      </c>
      <c r="D974" s="31">
        <f>D973+0.45</f>
        <v>0.73299999999999998</v>
      </c>
      <c r="E974" s="30">
        <v>25917</v>
      </c>
      <c r="F974" s="31">
        <v>1.1499999999999999</v>
      </c>
      <c r="G974" s="31">
        <v>1.22</v>
      </c>
      <c r="H974" s="31">
        <v>1.35</v>
      </c>
      <c r="I974" s="31">
        <v>1.3</v>
      </c>
      <c r="J974" s="31">
        <v>1.0777000000000001</v>
      </c>
      <c r="K974" s="30">
        <f t="shared" si="180"/>
        <v>68772.91036478852</v>
      </c>
      <c r="L974" s="30">
        <f t="shared" ref="L974:L989" si="223">K974+L973</f>
        <v>222860.15536478854</v>
      </c>
    </row>
    <row r="975" spans="1:12" ht="30" customHeight="1" x14ac:dyDescent="0.2">
      <c r="A975" s="27" t="s">
        <v>1586</v>
      </c>
      <c r="B975" s="27"/>
      <c r="C975" s="27" t="s">
        <v>955</v>
      </c>
      <c r="D975" s="31">
        <f>D974+0.967</f>
        <v>1.7</v>
      </c>
      <c r="E975" s="30">
        <v>95924</v>
      </c>
      <c r="F975" s="31">
        <v>1.2889999999999999</v>
      </c>
      <c r="G975" s="31">
        <v>1.22</v>
      </c>
      <c r="H975" s="31">
        <v>1.35</v>
      </c>
      <c r="I975" s="31">
        <v>1.3</v>
      </c>
      <c r="J975" s="31">
        <v>1.0777000000000001</v>
      </c>
      <c r="K975" s="30">
        <f t="shared" si="180"/>
        <v>285308.71128030494</v>
      </c>
      <c r="L975" s="30">
        <f t="shared" si="223"/>
        <v>508168.86664509348</v>
      </c>
    </row>
    <row r="976" spans="1:12" ht="30" customHeight="1" x14ac:dyDescent="0.2">
      <c r="A976" s="27" t="s">
        <v>1586</v>
      </c>
      <c r="B976" s="27"/>
      <c r="C976" s="27" t="s">
        <v>1587</v>
      </c>
      <c r="D976" s="31">
        <f>D975+0.45</f>
        <v>2.15</v>
      </c>
      <c r="E976" s="30">
        <v>76784</v>
      </c>
      <c r="F976" s="31"/>
      <c r="G976" s="31"/>
      <c r="H976" s="31"/>
      <c r="I976" s="31">
        <v>1.3</v>
      </c>
      <c r="J976" s="31"/>
      <c r="K976" s="30">
        <f t="shared" si="180"/>
        <v>99819.199999999997</v>
      </c>
      <c r="L976" s="30">
        <f t="shared" si="223"/>
        <v>607988.0666450935</v>
      </c>
    </row>
    <row r="977" spans="1:12" ht="30" customHeight="1" x14ac:dyDescent="0.2">
      <c r="A977" s="27" t="s">
        <v>1586</v>
      </c>
      <c r="B977" s="27"/>
      <c r="C977" s="27" t="s">
        <v>956</v>
      </c>
      <c r="D977" s="31">
        <f>D975+1.766</f>
        <v>3.4660000000000002</v>
      </c>
      <c r="E977" s="30">
        <v>95924</v>
      </c>
      <c r="F977" s="31">
        <v>1.2889999999999999</v>
      </c>
      <c r="G977" s="31">
        <v>1.22</v>
      </c>
      <c r="H977" s="31">
        <v>1.35</v>
      </c>
      <c r="I977" s="31">
        <v>1.3</v>
      </c>
      <c r="J977" s="31">
        <v>1.0777000000000001</v>
      </c>
      <c r="K977" s="30">
        <f t="shared" si="180"/>
        <v>285308.71128030494</v>
      </c>
      <c r="L977" s="30">
        <f t="shared" si="223"/>
        <v>893296.77792539843</v>
      </c>
    </row>
    <row r="978" spans="1:12" ht="30" customHeight="1" x14ac:dyDescent="0.2">
      <c r="A978" s="27" t="s">
        <v>1586</v>
      </c>
      <c r="B978" s="27"/>
      <c r="C978" s="27" t="s">
        <v>957</v>
      </c>
      <c r="D978" s="31">
        <f>D977+2.133</f>
        <v>5.5990000000000002</v>
      </c>
      <c r="E978" s="30">
        <v>95924</v>
      </c>
      <c r="F978" s="31">
        <v>1.2889999999999999</v>
      </c>
      <c r="G978" s="31">
        <v>1.22</v>
      </c>
      <c r="H978" s="31">
        <v>1.35</v>
      </c>
      <c r="I978" s="31">
        <v>1.3</v>
      </c>
      <c r="J978" s="31">
        <v>1.0777000000000001</v>
      </c>
      <c r="K978" s="30">
        <f t="shared" si="180"/>
        <v>285308.71128030494</v>
      </c>
      <c r="L978" s="30">
        <f t="shared" si="223"/>
        <v>1178605.4892057034</v>
      </c>
    </row>
    <row r="979" spans="1:12" ht="30" customHeight="1" x14ac:dyDescent="0.2">
      <c r="A979" s="27" t="s">
        <v>1586</v>
      </c>
      <c r="B979" s="27"/>
      <c r="C979" s="27" t="s">
        <v>1588</v>
      </c>
      <c r="D979" s="31">
        <f>D978+0.45</f>
        <v>6.0490000000000004</v>
      </c>
      <c r="E979" s="30">
        <v>76784</v>
      </c>
      <c r="F979" s="31"/>
      <c r="G979" s="31"/>
      <c r="H979" s="31"/>
      <c r="I979" s="31">
        <v>1.3</v>
      </c>
      <c r="J979" s="31"/>
      <c r="K979" s="30">
        <f t="shared" si="180"/>
        <v>99819.199999999997</v>
      </c>
      <c r="L979" s="30">
        <f t="shared" si="223"/>
        <v>1278424.6892057033</v>
      </c>
    </row>
    <row r="980" spans="1:12" ht="30" customHeight="1" x14ac:dyDescent="0.2">
      <c r="A980" s="27" t="s">
        <v>1586</v>
      </c>
      <c r="B980" s="27"/>
      <c r="C980" s="27" t="s">
        <v>958</v>
      </c>
      <c r="D980" s="31">
        <f>D978+1.766</f>
        <v>7.3650000000000002</v>
      </c>
      <c r="E980" s="30">
        <v>95924</v>
      </c>
      <c r="F980" s="31">
        <v>1.2889999999999999</v>
      </c>
      <c r="G980" s="31">
        <v>1.22</v>
      </c>
      <c r="H980" s="31">
        <v>1.35</v>
      </c>
      <c r="I980" s="31">
        <v>1.3</v>
      </c>
      <c r="J980" s="31">
        <v>1.0777000000000001</v>
      </c>
      <c r="K980" s="30">
        <f t="shared" si="180"/>
        <v>285308.71128030494</v>
      </c>
      <c r="L980" s="30">
        <f t="shared" si="223"/>
        <v>1563733.4004860083</v>
      </c>
    </row>
    <row r="981" spans="1:12" ht="30" customHeight="1" x14ac:dyDescent="0.2">
      <c r="A981" s="27" t="s">
        <v>1586</v>
      </c>
      <c r="B981" s="27"/>
      <c r="C981" s="27" t="s">
        <v>959</v>
      </c>
      <c r="D981" s="31">
        <f>D980+2.133</f>
        <v>9.4980000000000011</v>
      </c>
      <c r="E981" s="30">
        <v>95924</v>
      </c>
      <c r="F981" s="31">
        <v>1.2889999999999999</v>
      </c>
      <c r="G981" s="31">
        <v>1.22</v>
      </c>
      <c r="H981" s="31">
        <v>1.35</v>
      </c>
      <c r="I981" s="31">
        <v>1.3</v>
      </c>
      <c r="J981" s="31">
        <v>1.0777000000000001</v>
      </c>
      <c r="K981" s="30">
        <f t="shared" si="180"/>
        <v>285308.71128030494</v>
      </c>
      <c r="L981" s="30">
        <f t="shared" si="223"/>
        <v>1849042.1117663132</v>
      </c>
    </row>
    <row r="982" spans="1:12" ht="30" customHeight="1" x14ac:dyDescent="0.2">
      <c r="A982" s="27" t="s">
        <v>1586</v>
      </c>
      <c r="B982" s="27"/>
      <c r="C982" s="27" t="s">
        <v>1589</v>
      </c>
      <c r="D982" s="31">
        <f>D981+0.45</f>
        <v>9.9480000000000004</v>
      </c>
      <c r="E982" s="30">
        <v>76784</v>
      </c>
      <c r="F982" s="31"/>
      <c r="G982" s="31"/>
      <c r="H982" s="31"/>
      <c r="I982" s="31">
        <v>1.3</v>
      </c>
      <c r="J982" s="31"/>
      <c r="K982" s="30">
        <f t="shared" si="180"/>
        <v>99819.199999999997</v>
      </c>
      <c r="L982" s="30">
        <f t="shared" si="223"/>
        <v>1948861.3117663132</v>
      </c>
    </row>
    <row r="983" spans="1:12" ht="30" customHeight="1" x14ac:dyDescent="0.2">
      <c r="A983" s="27" t="s">
        <v>1586</v>
      </c>
      <c r="B983" s="27"/>
      <c r="C983" s="27" t="s">
        <v>960</v>
      </c>
      <c r="D983" s="31">
        <f>D981+1.766</f>
        <v>11.264000000000001</v>
      </c>
      <c r="E983" s="30">
        <v>174025</v>
      </c>
      <c r="F983" s="31"/>
      <c r="G983" s="31">
        <v>1.22</v>
      </c>
      <c r="H983" s="31">
        <v>1.35</v>
      </c>
      <c r="I983" s="31">
        <v>1.3</v>
      </c>
      <c r="J983" s="31">
        <v>1.0777000000000001</v>
      </c>
      <c r="K983" s="30">
        <f t="shared" si="180"/>
        <v>401556.33036675007</v>
      </c>
      <c r="L983" s="30">
        <f t="shared" si="223"/>
        <v>2350417.6421330632</v>
      </c>
    </row>
    <row r="984" spans="1:12" ht="30" customHeight="1" x14ac:dyDescent="0.2">
      <c r="A984" s="27" t="s">
        <v>1586</v>
      </c>
      <c r="B984" s="27"/>
      <c r="C984" s="27" t="s">
        <v>1012</v>
      </c>
      <c r="D984" s="31">
        <f>D983+0.85</f>
        <v>12.114000000000001</v>
      </c>
      <c r="E984" s="30">
        <v>87799</v>
      </c>
      <c r="F984" s="31"/>
      <c r="G984" s="31"/>
      <c r="H984" s="31">
        <v>1.35</v>
      </c>
      <c r="I984" s="31">
        <v>1.3</v>
      </c>
      <c r="J984" s="31"/>
      <c r="K984" s="30">
        <f t="shared" si="180"/>
        <v>154087.24500000002</v>
      </c>
      <c r="L984" s="30">
        <f t="shared" si="223"/>
        <v>2504504.8871330633</v>
      </c>
    </row>
    <row r="985" spans="1:12" ht="30" customHeight="1" x14ac:dyDescent="0.2">
      <c r="A985" s="27" t="s">
        <v>1586</v>
      </c>
      <c r="B985" s="27"/>
      <c r="C985" s="27" t="s">
        <v>1164</v>
      </c>
      <c r="D985" s="31">
        <f>D984+0.45</f>
        <v>12.564</v>
      </c>
      <c r="E985" s="30">
        <v>25917</v>
      </c>
      <c r="F985" s="31">
        <v>1.1499999999999999</v>
      </c>
      <c r="G985" s="31">
        <v>1.22</v>
      </c>
      <c r="H985" s="31">
        <v>1.35</v>
      </c>
      <c r="I985" s="31">
        <v>1.3</v>
      </c>
      <c r="J985" s="31">
        <v>1.0777000000000001</v>
      </c>
      <c r="K985" s="30">
        <f t="shared" si="180"/>
        <v>68772.91036478852</v>
      </c>
      <c r="L985" s="30">
        <f t="shared" si="223"/>
        <v>2573277.7974978518</v>
      </c>
    </row>
    <row r="986" spans="1:12" ht="30" customHeight="1" x14ac:dyDescent="0.2">
      <c r="A986" s="27" t="s">
        <v>1586</v>
      </c>
      <c r="B986" s="27"/>
      <c r="C986" s="27" t="s">
        <v>1590</v>
      </c>
      <c r="D986" s="31">
        <f>D985+1.3</f>
        <v>13.864000000000001</v>
      </c>
      <c r="E986" s="30">
        <v>76784</v>
      </c>
      <c r="F986" s="31"/>
      <c r="G986" s="31"/>
      <c r="H986" s="31"/>
      <c r="I986" s="31">
        <v>1.3</v>
      </c>
      <c r="J986" s="31"/>
      <c r="K986" s="30">
        <f t="shared" si="180"/>
        <v>99819.199999999997</v>
      </c>
      <c r="L986" s="30">
        <f t="shared" si="223"/>
        <v>2673096.997497852</v>
      </c>
    </row>
    <row r="987" spans="1:12" ht="30" customHeight="1" x14ac:dyDescent="0.2">
      <c r="A987" s="27" t="s">
        <v>1586</v>
      </c>
      <c r="B987" s="27"/>
      <c r="C987" s="27" t="s">
        <v>961</v>
      </c>
      <c r="D987" s="31">
        <f>D986+1.083</f>
        <v>14.947000000000001</v>
      </c>
      <c r="E987" s="30">
        <v>95924</v>
      </c>
      <c r="F987" s="31">
        <v>1.2889999999999999</v>
      </c>
      <c r="G987" s="31">
        <v>1.22</v>
      </c>
      <c r="H987" s="31">
        <v>1.35</v>
      </c>
      <c r="I987" s="31">
        <v>1.3</v>
      </c>
      <c r="J987" s="31">
        <v>1.0777000000000001</v>
      </c>
      <c r="K987" s="30">
        <f t="shared" si="180"/>
        <v>285308.71128030494</v>
      </c>
      <c r="L987" s="30">
        <f t="shared" si="223"/>
        <v>2958405.7087781569</v>
      </c>
    </row>
    <row r="988" spans="1:12" ht="30" customHeight="1" x14ac:dyDescent="0.2">
      <c r="A988" s="27" t="s">
        <v>1586</v>
      </c>
      <c r="B988" s="27"/>
      <c r="C988" s="27" t="s">
        <v>962</v>
      </c>
      <c r="D988" s="31">
        <f>D987+2.133</f>
        <v>17.080000000000002</v>
      </c>
      <c r="E988" s="30">
        <v>95924</v>
      </c>
      <c r="F988" s="31">
        <v>1.2889999999999999</v>
      </c>
      <c r="G988" s="31">
        <v>1.22</v>
      </c>
      <c r="H988" s="31">
        <v>1.35</v>
      </c>
      <c r="I988" s="31">
        <v>1.3</v>
      </c>
      <c r="J988" s="31">
        <v>1.0777000000000001</v>
      </c>
      <c r="K988" s="30">
        <f t="shared" si="180"/>
        <v>285308.71128030494</v>
      </c>
      <c r="L988" s="30">
        <f t="shared" si="223"/>
        <v>3243714.4200584618</v>
      </c>
    </row>
    <row r="989" spans="1:12" ht="30" customHeight="1" x14ac:dyDescent="0.2">
      <c r="A989" s="27" t="s">
        <v>1586</v>
      </c>
      <c r="B989" s="27"/>
      <c r="C989" s="27" t="s">
        <v>1591</v>
      </c>
      <c r="D989" s="31">
        <f>D988+0.45</f>
        <v>17.53</v>
      </c>
      <c r="E989" s="30">
        <v>76784</v>
      </c>
      <c r="F989" s="31"/>
      <c r="G989" s="31"/>
      <c r="H989" s="31"/>
      <c r="I989" s="31">
        <v>1.3</v>
      </c>
      <c r="J989" s="31"/>
      <c r="K989" s="30">
        <f t="shared" si="180"/>
        <v>99819.199999999997</v>
      </c>
      <c r="L989" s="30">
        <f t="shared" si="223"/>
        <v>3343533.620058462</v>
      </c>
    </row>
    <row r="990" spans="1:12" ht="30" customHeight="1" x14ac:dyDescent="0.2">
      <c r="A990" s="27" t="s">
        <v>1586</v>
      </c>
      <c r="B990" s="27"/>
      <c r="C990" s="27" t="s">
        <v>963</v>
      </c>
      <c r="D990" s="31">
        <f>D988+1.766</f>
        <v>18.846000000000004</v>
      </c>
      <c r="E990" s="30">
        <v>95924</v>
      </c>
      <c r="F990" s="31">
        <v>1.2889999999999999</v>
      </c>
      <c r="G990" s="31">
        <v>1.22</v>
      </c>
      <c r="H990" s="31">
        <v>1.35</v>
      </c>
      <c r="I990" s="31">
        <v>1.3</v>
      </c>
      <c r="J990" s="31">
        <v>1.0777000000000001</v>
      </c>
      <c r="K990" s="30">
        <f t="shared" si="180"/>
        <v>285308.71128030494</v>
      </c>
      <c r="L990" s="65">
        <f>L989+K990</f>
        <v>3628842.331338767</v>
      </c>
    </row>
    <row r="991" spans="1:12" ht="30" customHeight="1" x14ac:dyDescent="0.2">
      <c r="A991" s="27" t="s">
        <v>1592</v>
      </c>
      <c r="B991" s="27"/>
      <c r="C991" s="27" t="s">
        <v>1001</v>
      </c>
      <c r="D991" s="31">
        <v>0.23300000000000001</v>
      </c>
      <c r="E991" s="30">
        <v>87799</v>
      </c>
      <c r="F991" s="31"/>
      <c r="G991" s="31"/>
      <c r="H991" s="31">
        <v>1.35</v>
      </c>
      <c r="I991" s="31">
        <v>1.3</v>
      </c>
      <c r="J991" s="31"/>
      <c r="K991" s="30">
        <f t="shared" si="180"/>
        <v>154087.24500000002</v>
      </c>
      <c r="L991" s="30">
        <f>K991</f>
        <v>154087.24500000002</v>
      </c>
    </row>
    <row r="992" spans="1:12" ht="30" customHeight="1" x14ac:dyDescent="0.2">
      <c r="A992" s="27" t="s">
        <v>1592</v>
      </c>
      <c r="B992" s="27"/>
      <c r="C992" s="27" t="s">
        <v>1587</v>
      </c>
      <c r="D992" s="31">
        <f>0.1+2.2</f>
        <v>2.3000000000000003</v>
      </c>
      <c r="E992" s="30">
        <f>76784*2</f>
        <v>153568</v>
      </c>
      <c r="F992" s="31"/>
      <c r="G992" s="31"/>
      <c r="H992" s="31"/>
      <c r="I992" s="31">
        <v>1.3</v>
      </c>
      <c r="J992" s="31"/>
      <c r="K992" s="30">
        <f t="shared" si="180"/>
        <v>199638.39999999999</v>
      </c>
      <c r="L992" s="30">
        <f t="shared" ref="L992:L1008" si="224">K992+L991</f>
        <v>353725.64500000002</v>
      </c>
    </row>
    <row r="993" spans="1:12" ht="30" customHeight="1" x14ac:dyDescent="0.2">
      <c r="A993" s="27" t="s">
        <v>1592</v>
      </c>
      <c r="B993" s="27"/>
      <c r="C993" s="27" t="s">
        <v>955</v>
      </c>
      <c r="D993" s="31">
        <v>1.65</v>
      </c>
      <c r="E993" s="30">
        <v>95924</v>
      </c>
      <c r="F993" s="31">
        <v>1.2889999999999999</v>
      </c>
      <c r="G993" s="31">
        <v>1.22</v>
      </c>
      <c r="H993" s="31">
        <v>1.35</v>
      </c>
      <c r="I993" s="31">
        <v>1.3</v>
      </c>
      <c r="J993" s="31">
        <v>1.0777000000000001</v>
      </c>
      <c r="K993" s="30">
        <f t="shared" si="180"/>
        <v>285308.71128030494</v>
      </c>
      <c r="L993" s="30">
        <f t="shared" si="224"/>
        <v>639034.35628030496</v>
      </c>
    </row>
    <row r="994" spans="1:12" ht="30" customHeight="1" x14ac:dyDescent="0.2">
      <c r="A994" s="27" t="s">
        <v>1592</v>
      </c>
      <c r="B994" s="27"/>
      <c r="C994" s="27" t="s">
        <v>1588</v>
      </c>
      <c r="D994" s="31">
        <f>1.666+2.2</f>
        <v>3.8660000000000001</v>
      </c>
      <c r="E994" s="30">
        <f>76784*2</f>
        <v>153568</v>
      </c>
      <c r="F994" s="31"/>
      <c r="G994" s="31"/>
      <c r="H994" s="31"/>
      <c r="I994" s="31">
        <v>1.3</v>
      </c>
      <c r="J994" s="31"/>
      <c r="K994" s="30">
        <f t="shared" si="180"/>
        <v>199638.39999999999</v>
      </c>
      <c r="L994" s="30">
        <f t="shared" si="224"/>
        <v>838672.75628030498</v>
      </c>
    </row>
    <row r="995" spans="1:12" ht="30" customHeight="1" x14ac:dyDescent="0.2">
      <c r="A995" s="27" t="s">
        <v>1592</v>
      </c>
      <c r="B995" s="27"/>
      <c r="C995" s="27" t="s">
        <v>956</v>
      </c>
      <c r="D995" s="31">
        <v>3.3330000000000002</v>
      </c>
      <c r="E995" s="30">
        <v>95924</v>
      </c>
      <c r="F995" s="31">
        <v>1.2889999999999999</v>
      </c>
      <c r="G995" s="31">
        <v>1.22</v>
      </c>
      <c r="H995" s="31">
        <v>1.35</v>
      </c>
      <c r="I995" s="31">
        <v>1.3</v>
      </c>
      <c r="J995" s="31">
        <v>1.0777000000000001</v>
      </c>
      <c r="K995" s="30">
        <f t="shared" si="180"/>
        <v>285308.71128030494</v>
      </c>
      <c r="L995" s="30">
        <f t="shared" si="224"/>
        <v>1123981.4675606098</v>
      </c>
    </row>
    <row r="996" spans="1:12" ht="30" customHeight="1" x14ac:dyDescent="0.2">
      <c r="A996" s="27" t="s">
        <v>1592</v>
      </c>
      <c r="B996" s="27"/>
      <c r="C996" s="27" t="s">
        <v>957</v>
      </c>
      <c r="D996" s="31">
        <f>D995+2.133</f>
        <v>5.4660000000000002</v>
      </c>
      <c r="E996" s="30">
        <v>95924</v>
      </c>
      <c r="F996" s="31">
        <v>1.2889999999999999</v>
      </c>
      <c r="G996" s="31">
        <v>1.22</v>
      </c>
      <c r="H996" s="31">
        <v>1.35</v>
      </c>
      <c r="I996" s="31">
        <v>1.3</v>
      </c>
      <c r="J996" s="31">
        <v>1.0777000000000001</v>
      </c>
      <c r="K996" s="30">
        <f t="shared" si="180"/>
        <v>285308.71128030494</v>
      </c>
      <c r="L996" s="30">
        <f t="shared" si="224"/>
        <v>1409290.1788409147</v>
      </c>
    </row>
    <row r="997" spans="1:12" ht="30" customHeight="1" x14ac:dyDescent="0.2">
      <c r="A997" s="27" t="s">
        <v>1592</v>
      </c>
      <c r="B997" s="27"/>
      <c r="C997" s="27" t="s">
        <v>1589</v>
      </c>
      <c r="D997" s="31">
        <f t="shared" ref="D997:D998" si="225">D996+D994-D993</f>
        <v>7.6820000000000004</v>
      </c>
      <c r="E997" s="30">
        <f>76784*2</f>
        <v>153568</v>
      </c>
      <c r="F997" s="31"/>
      <c r="G997" s="31"/>
      <c r="H997" s="31"/>
      <c r="I997" s="31">
        <v>1.3</v>
      </c>
      <c r="J997" s="31"/>
      <c r="K997" s="30">
        <f t="shared" si="180"/>
        <v>199638.39999999999</v>
      </c>
      <c r="L997" s="30">
        <f t="shared" si="224"/>
        <v>1608928.5788409146</v>
      </c>
    </row>
    <row r="998" spans="1:12" ht="30" customHeight="1" x14ac:dyDescent="0.2">
      <c r="A998" s="27" t="s">
        <v>1592</v>
      </c>
      <c r="B998" s="27"/>
      <c r="C998" s="27" t="s">
        <v>958</v>
      </c>
      <c r="D998" s="31">
        <f t="shared" si="225"/>
        <v>7.1490000000000009</v>
      </c>
      <c r="E998" s="30">
        <v>95924</v>
      </c>
      <c r="F998" s="31">
        <v>1.2889999999999999</v>
      </c>
      <c r="G998" s="31">
        <v>1.22</v>
      </c>
      <c r="H998" s="31">
        <v>1.35</v>
      </c>
      <c r="I998" s="31">
        <v>1.3</v>
      </c>
      <c r="J998" s="31">
        <v>1.0777000000000001</v>
      </c>
      <c r="K998" s="30">
        <f t="shared" si="180"/>
        <v>285308.71128030494</v>
      </c>
      <c r="L998" s="30">
        <f t="shared" si="224"/>
        <v>1894237.2901212196</v>
      </c>
    </row>
    <row r="999" spans="1:12" ht="30" customHeight="1" x14ac:dyDescent="0.2">
      <c r="A999" s="27" t="s">
        <v>1592</v>
      </c>
      <c r="B999" s="27"/>
      <c r="C999" s="27" t="s">
        <v>1593</v>
      </c>
      <c r="D999" s="31">
        <f>D998+0.65</f>
        <v>7.7990000000000013</v>
      </c>
      <c r="E999" s="30">
        <f t="shared" ref="E999:E1000" si="226">76784*2</f>
        <v>153568</v>
      </c>
      <c r="F999" s="31"/>
      <c r="G999" s="31"/>
      <c r="H999" s="31"/>
      <c r="I999" s="31">
        <v>1.3</v>
      </c>
      <c r="J999" s="31"/>
      <c r="K999" s="30">
        <f t="shared" si="180"/>
        <v>199638.39999999999</v>
      </c>
      <c r="L999" s="30">
        <f t="shared" si="224"/>
        <v>2093875.6901212195</v>
      </c>
    </row>
    <row r="1000" spans="1:12" ht="30" customHeight="1" x14ac:dyDescent="0.2">
      <c r="A1000" s="27" t="s">
        <v>1592</v>
      </c>
      <c r="B1000" s="27"/>
      <c r="C1000" s="27" t="s">
        <v>1590</v>
      </c>
      <c r="D1000" s="31">
        <f>D998+1.716+2.2</f>
        <v>11.065000000000001</v>
      </c>
      <c r="E1000" s="30">
        <f t="shared" si="226"/>
        <v>153568</v>
      </c>
      <c r="F1000" s="31"/>
      <c r="G1000" s="31"/>
      <c r="H1000" s="31"/>
      <c r="I1000" s="31">
        <v>1.3</v>
      </c>
      <c r="J1000" s="31"/>
      <c r="K1000" s="30">
        <f t="shared" si="180"/>
        <v>199638.39999999999</v>
      </c>
      <c r="L1000" s="30">
        <f t="shared" si="224"/>
        <v>2293514.0901212194</v>
      </c>
    </row>
    <row r="1001" spans="1:12" ht="30" customHeight="1" x14ac:dyDescent="0.2">
      <c r="A1001" s="27" t="s">
        <v>1592</v>
      </c>
      <c r="B1001" s="27"/>
      <c r="C1001" s="27" t="s">
        <v>959</v>
      </c>
      <c r="D1001" s="31">
        <f>D1000+D998-D997</f>
        <v>10.532000000000002</v>
      </c>
      <c r="E1001" s="30">
        <v>95924</v>
      </c>
      <c r="F1001" s="31">
        <v>1.2889999999999999</v>
      </c>
      <c r="G1001" s="31">
        <v>1.22</v>
      </c>
      <c r="H1001" s="31">
        <v>1.35</v>
      </c>
      <c r="I1001" s="31">
        <v>1.3</v>
      </c>
      <c r="J1001" s="31">
        <v>1.0777000000000001</v>
      </c>
      <c r="K1001" s="30">
        <f t="shared" si="180"/>
        <v>285308.71128030494</v>
      </c>
      <c r="L1001" s="30">
        <f t="shared" si="224"/>
        <v>2578822.8014015243</v>
      </c>
    </row>
    <row r="1002" spans="1:12" ht="30" customHeight="1" x14ac:dyDescent="0.2">
      <c r="A1002" s="27" t="s">
        <v>1592</v>
      </c>
      <c r="B1002" s="27"/>
      <c r="C1002" s="27" t="s">
        <v>960</v>
      </c>
      <c r="D1002" s="31">
        <f>D1001+2.133</f>
        <v>12.665000000000003</v>
      </c>
      <c r="E1002" s="30">
        <v>95924</v>
      </c>
      <c r="F1002" s="31">
        <v>1.2889999999999999</v>
      </c>
      <c r="G1002" s="31">
        <v>1.22</v>
      </c>
      <c r="H1002" s="31">
        <v>1.35</v>
      </c>
      <c r="I1002" s="31">
        <v>1.3</v>
      </c>
      <c r="J1002" s="31">
        <v>1.0777000000000001</v>
      </c>
      <c r="K1002" s="30">
        <f t="shared" si="180"/>
        <v>285308.71128030494</v>
      </c>
      <c r="L1002" s="30">
        <f t="shared" si="224"/>
        <v>2864131.5126818293</v>
      </c>
    </row>
    <row r="1003" spans="1:12" ht="30" customHeight="1" x14ac:dyDescent="0.2">
      <c r="A1003" s="27" t="s">
        <v>1592</v>
      </c>
      <c r="B1003" s="27"/>
      <c r="C1003" s="27" t="s">
        <v>1591</v>
      </c>
      <c r="D1003" s="31">
        <f t="shared" ref="D1003:D1004" si="227">D1002+D1000-D999</f>
        <v>15.931000000000003</v>
      </c>
      <c r="E1003" s="30">
        <f>76784*2</f>
        <v>153568</v>
      </c>
      <c r="F1003" s="31"/>
      <c r="G1003" s="31"/>
      <c r="H1003" s="31"/>
      <c r="I1003" s="31">
        <v>1.3</v>
      </c>
      <c r="J1003" s="31"/>
      <c r="K1003" s="30">
        <f t="shared" si="180"/>
        <v>199638.39999999999</v>
      </c>
      <c r="L1003" s="30">
        <f t="shared" si="224"/>
        <v>3063769.9126818292</v>
      </c>
    </row>
    <row r="1004" spans="1:12" ht="30" customHeight="1" x14ac:dyDescent="0.2">
      <c r="A1004" s="27" t="s">
        <v>1592</v>
      </c>
      <c r="B1004" s="27"/>
      <c r="C1004" s="27" t="s">
        <v>961</v>
      </c>
      <c r="D1004" s="31">
        <f t="shared" si="227"/>
        <v>15.398000000000003</v>
      </c>
      <c r="E1004" s="30">
        <v>95924</v>
      </c>
      <c r="F1004" s="31">
        <v>1.2889999999999999</v>
      </c>
      <c r="G1004" s="31">
        <v>1.22</v>
      </c>
      <c r="H1004" s="31">
        <v>1.35</v>
      </c>
      <c r="I1004" s="31">
        <v>1.3</v>
      </c>
      <c r="J1004" s="31">
        <v>1.0777000000000001</v>
      </c>
      <c r="K1004" s="30">
        <f t="shared" si="180"/>
        <v>285308.71128030494</v>
      </c>
      <c r="L1004" s="30">
        <f t="shared" si="224"/>
        <v>3349078.6239621341</v>
      </c>
    </row>
    <row r="1005" spans="1:12" ht="30" customHeight="1" x14ac:dyDescent="0.2">
      <c r="A1005" s="27" t="s">
        <v>1592</v>
      </c>
      <c r="B1005" s="27"/>
      <c r="C1005" s="27" t="s">
        <v>962</v>
      </c>
      <c r="D1005" s="31">
        <f>D1004+2.133</f>
        <v>17.531000000000002</v>
      </c>
      <c r="E1005" s="30">
        <v>95924</v>
      </c>
      <c r="F1005" s="31">
        <v>1.2889999999999999</v>
      </c>
      <c r="G1005" s="31">
        <v>1.22</v>
      </c>
      <c r="H1005" s="31">
        <v>1.35</v>
      </c>
      <c r="I1005" s="31">
        <v>1.3</v>
      </c>
      <c r="J1005" s="31">
        <v>1.0777000000000001</v>
      </c>
      <c r="K1005" s="30">
        <f t="shared" si="180"/>
        <v>285308.71128030494</v>
      </c>
      <c r="L1005" s="30">
        <f t="shared" si="224"/>
        <v>3634387.3352424391</v>
      </c>
    </row>
    <row r="1006" spans="1:12" ht="30" customHeight="1" x14ac:dyDescent="0.2">
      <c r="A1006" s="27" t="s">
        <v>1592</v>
      </c>
      <c r="B1006" s="27"/>
      <c r="C1006" s="27" t="s">
        <v>1594</v>
      </c>
      <c r="D1006" s="31">
        <f t="shared" ref="D1006:D1008" si="228">D1005+D1003-D1002</f>
        <v>20.797000000000001</v>
      </c>
      <c r="E1006" s="30">
        <f>76784*2</f>
        <v>153568</v>
      </c>
      <c r="F1006" s="31"/>
      <c r="G1006" s="31"/>
      <c r="H1006" s="31"/>
      <c r="I1006" s="31">
        <v>1.3</v>
      </c>
      <c r="J1006" s="31"/>
      <c r="K1006" s="30">
        <f t="shared" si="180"/>
        <v>199638.39999999999</v>
      </c>
      <c r="L1006" s="30">
        <f t="shared" si="224"/>
        <v>3834025.735242439</v>
      </c>
    </row>
    <row r="1007" spans="1:12" ht="30" customHeight="1" x14ac:dyDescent="0.2">
      <c r="A1007" s="27" t="s">
        <v>1592</v>
      </c>
      <c r="B1007" s="27"/>
      <c r="C1007" s="27" t="s">
        <v>963</v>
      </c>
      <c r="D1007" s="31">
        <f t="shared" si="228"/>
        <v>20.264000000000003</v>
      </c>
      <c r="E1007" s="30">
        <v>95924</v>
      </c>
      <c r="F1007" s="31">
        <v>1.2889999999999999</v>
      </c>
      <c r="G1007" s="31">
        <v>1.22</v>
      </c>
      <c r="H1007" s="31">
        <v>1.35</v>
      </c>
      <c r="I1007" s="31">
        <v>1.3</v>
      </c>
      <c r="J1007" s="31">
        <v>1.0777000000000001</v>
      </c>
      <c r="K1007" s="30">
        <f t="shared" si="180"/>
        <v>285308.71128030494</v>
      </c>
      <c r="L1007" s="30">
        <f t="shared" si="224"/>
        <v>4119334.4465227439</v>
      </c>
    </row>
    <row r="1008" spans="1:12" ht="30" customHeight="1" x14ac:dyDescent="0.2">
      <c r="A1008" s="27" t="s">
        <v>1592</v>
      </c>
      <c r="B1008" s="27"/>
      <c r="C1008" s="27" t="s">
        <v>1595</v>
      </c>
      <c r="D1008" s="31">
        <f t="shared" si="228"/>
        <v>22.396999999999998</v>
      </c>
      <c r="E1008" s="30">
        <f>76784*2</f>
        <v>153568</v>
      </c>
      <c r="F1008" s="31"/>
      <c r="G1008" s="31"/>
      <c r="H1008" s="31"/>
      <c r="I1008" s="31">
        <v>1.3</v>
      </c>
      <c r="J1008" s="31"/>
      <c r="K1008" s="30">
        <f t="shared" si="180"/>
        <v>199638.39999999999</v>
      </c>
      <c r="L1008" s="65">
        <f t="shared" si="224"/>
        <v>4318972.8465227438</v>
      </c>
    </row>
    <row r="1009" spans="1:12" ht="30" customHeight="1" x14ac:dyDescent="0.2">
      <c r="A1009" s="27" t="s">
        <v>1596</v>
      </c>
      <c r="B1009" s="27"/>
      <c r="C1009" s="27" t="s">
        <v>936</v>
      </c>
      <c r="D1009" s="31">
        <v>1.7</v>
      </c>
      <c r="E1009" s="30">
        <v>566782</v>
      </c>
      <c r="F1009" s="31"/>
      <c r="G1009" s="31"/>
      <c r="H1009" s="31"/>
      <c r="I1009" s="31">
        <v>1.3</v>
      </c>
      <c r="J1009" s="31"/>
      <c r="K1009" s="30">
        <f t="shared" si="180"/>
        <v>736816.6</v>
      </c>
      <c r="L1009" s="30">
        <f>K1009</f>
        <v>736816.6</v>
      </c>
    </row>
    <row r="1010" spans="1:12" ht="30" customHeight="1" x14ac:dyDescent="0.2">
      <c r="A1010" s="27" t="s">
        <v>1596</v>
      </c>
      <c r="B1010" s="27"/>
      <c r="C1010" s="27" t="s">
        <v>1597</v>
      </c>
      <c r="D1010" s="31">
        <v>2.9159999999999999</v>
      </c>
      <c r="E1010" s="30">
        <v>26199</v>
      </c>
      <c r="F1010" s="31"/>
      <c r="G1010" s="31">
        <v>1.22</v>
      </c>
      <c r="H1010" s="31">
        <v>1.35</v>
      </c>
      <c r="I1010" s="31">
        <v>1.3</v>
      </c>
      <c r="J1010" s="31"/>
      <c r="K1010" s="30">
        <f t="shared" si="180"/>
        <v>56094.678900000006</v>
      </c>
      <c r="L1010" s="30">
        <f t="shared" ref="L1010:L1043" si="229">L1009+K1010</f>
        <v>792911.27890000003</v>
      </c>
    </row>
    <row r="1011" spans="1:12" ht="30" customHeight="1" x14ac:dyDescent="0.2">
      <c r="A1011" s="27" t="s">
        <v>1596</v>
      </c>
      <c r="B1011" s="27"/>
      <c r="C1011" s="27" t="s">
        <v>1598</v>
      </c>
      <c r="D1011" s="31">
        <f t="shared" ref="D1011:D1022" si="230">D1010+0.5</f>
        <v>3.4159999999999999</v>
      </c>
      <c r="E1011" s="30">
        <v>26199</v>
      </c>
      <c r="F1011" s="31"/>
      <c r="G1011" s="31">
        <v>1.22</v>
      </c>
      <c r="H1011" s="31">
        <v>1.35</v>
      </c>
      <c r="I1011" s="31">
        <v>1.3</v>
      </c>
      <c r="J1011" s="31"/>
      <c r="K1011" s="30">
        <f t="shared" si="180"/>
        <v>56094.678900000006</v>
      </c>
      <c r="L1011" s="30">
        <f t="shared" si="229"/>
        <v>849005.95780000009</v>
      </c>
    </row>
    <row r="1012" spans="1:12" ht="30" customHeight="1" x14ac:dyDescent="0.2">
      <c r="A1012" s="27" t="s">
        <v>1596</v>
      </c>
      <c r="B1012" s="27"/>
      <c r="C1012" s="27" t="s">
        <v>1599</v>
      </c>
      <c r="D1012" s="31">
        <f t="shared" si="230"/>
        <v>3.9159999999999999</v>
      </c>
      <c r="E1012" s="30">
        <v>26199</v>
      </c>
      <c r="F1012" s="31"/>
      <c r="G1012" s="31">
        <v>1.22</v>
      </c>
      <c r="H1012" s="31">
        <v>1.35</v>
      </c>
      <c r="I1012" s="31">
        <v>1.3</v>
      </c>
      <c r="J1012" s="31"/>
      <c r="K1012" s="30">
        <f t="shared" si="180"/>
        <v>56094.678900000006</v>
      </c>
      <c r="L1012" s="30">
        <f t="shared" si="229"/>
        <v>905100.63670000015</v>
      </c>
    </row>
    <row r="1013" spans="1:12" ht="30" customHeight="1" x14ac:dyDescent="0.2">
      <c r="A1013" s="27" t="s">
        <v>1596</v>
      </c>
      <c r="B1013" s="27"/>
      <c r="C1013" s="27" t="s">
        <v>1600</v>
      </c>
      <c r="D1013" s="31">
        <f t="shared" si="230"/>
        <v>4.4160000000000004</v>
      </c>
      <c r="E1013" s="30">
        <v>26199</v>
      </c>
      <c r="F1013" s="31"/>
      <c r="G1013" s="31">
        <v>1.22</v>
      </c>
      <c r="H1013" s="31">
        <v>1.35</v>
      </c>
      <c r="I1013" s="31">
        <v>1.3</v>
      </c>
      <c r="J1013" s="31"/>
      <c r="K1013" s="30">
        <f t="shared" si="180"/>
        <v>56094.678900000006</v>
      </c>
      <c r="L1013" s="30">
        <f t="shared" si="229"/>
        <v>961195.31560000021</v>
      </c>
    </row>
    <row r="1014" spans="1:12" ht="30" customHeight="1" x14ac:dyDescent="0.2">
      <c r="A1014" s="27" t="s">
        <v>1596</v>
      </c>
      <c r="B1014" s="27"/>
      <c r="C1014" s="27" t="s">
        <v>1601</v>
      </c>
      <c r="D1014" s="31">
        <f t="shared" si="230"/>
        <v>4.9160000000000004</v>
      </c>
      <c r="E1014" s="30">
        <v>26199</v>
      </c>
      <c r="F1014" s="31"/>
      <c r="G1014" s="31">
        <v>1.22</v>
      </c>
      <c r="H1014" s="31">
        <v>1.35</v>
      </c>
      <c r="I1014" s="31">
        <v>1.3</v>
      </c>
      <c r="J1014" s="31"/>
      <c r="K1014" s="30">
        <f t="shared" si="180"/>
        <v>56094.678900000006</v>
      </c>
      <c r="L1014" s="30">
        <f t="shared" si="229"/>
        <v>1017289.9945000003</v>
      </c>
    </row>
    <row r="1015" spans="1:12" ht="30" customHeight="1" x14ac:dyDescent="0.2">
      <c r="A1015" s="27" t="s">
        <v>1596</v>
      </c>
      <c r="B1015" s="27"/>
      <c r="C1015" s="27" t="s">
        <v>1602</v>
      </c>
      <c r="D1015" s="31">
        <f t="shared" si="230"/>
        <v>5.4160000000000004</v>
      </c>
      <c r="E1015" s="30">
        <v>26199</v>
      </c>
      <c r="F1015" s="31"/>
      <c r="G1015" s="31">
        <v>1.22</v>
      </c>
      <c r="H1015" s="31">
        <v>1.35</v>
      </c>
      <c r="I1015" s="31">
        <v>1.3</v>
      </c>
      <c r="J1015" s="31"/>
      <c r="K1015" s="30">
        <f t="shared" si="180"/>
        <v>56094.678900000006</v>
      </c>
      <c r="L1015" s="30">
        <f t="shared" si="229"/>
        <v>1073384.6734000002</v>
      </c>
    </row>
    <row r="1016" spans="1:12" ht="30" customHeight="1" x14ac:dyDescent="0.2">
      <c r="A1016" s="27" t="s">
        <v>1596</v>
      </c>
      <c r="B1016" s="27"/>
      <c r="C1016" s="27" t="s">
        <v>1603</v>
      </c>
      <c r="D1016" s="31">
        <f t="shared" si="230"/>
        <v>5.9160000000000004</v>
      </c>
      <c r="E1016" s="30">
        <v>26199</v>
      </c>
      <c r="F1016" s="31"/>
      <c r="G1016" s="31">
        <v>1.22</v>
      </c>
      <c r="H1016" s="31">
        <v>1.35</v>
      </c>
      <c r="I1016" s="31">
        <v>1.3</v>
      </c>
      <c r="J1016" s="31"/>
      <c r="K1016" s="30">
        <f t="shared" si="180"/>
        <v>56094.678900000006</v>
      </c>
      <c r="L1016" s="30">
        <f t="shared" si="229"/>
        <v>1129479.3523000001</v>
      </c>
    </row>
    <row r="1017" spans="1:12" ht="30" customHeight="1" x14ac:dyDescent="0.2">
      <c r="A1017" s="27" t="s">
        <v>1596</v>
      </c>
      <c r="B1017" s="27"/>
      <c r="C1017" s="27" t="s">
        <v>1604</v>
      </c>
      <c r="D1017" s="31">
        <f t="shared" si="230"/>
        <v>6.4160000000000004</v>
      </c>
      <c r="E1017" s="30">
        <v>26199</v>
      </c>
      <c r="F1017" s="31"/>
      <c r="G1017" s="31">
        <v>1.22</v>
      </c>
      <c r="H1017" s="31">
        <v>1.35</v>
      </c>
      <c r="I1017" s="31">
        <v>1.3</v>
      </c>
      <c r="J1017" s="31"/>
      <c r="K1017" s="30">
        <f t="shared" si="180"/>
        <v>56094.678900000006</v>
      </c>
      <c r="L1017" s="30">
        <f t="shared" si="229"/>
        <v>1185574.0312000001</v>
      </c>
    </row>
    <row r="1018" spans="1:12" ht="30" customHeight="1" x14ac:dyDescent="0.2">
      <c r="A1018" s="27" t="s">
        <v>1596</v>
      </c>
      <c r="B1018" s="27"/>
      <c r="C1018" s="27" t="s">
        <v>1605</v>
      </c>
      <c r="D1018" s="31">
        <f t="shared" si="230"/>
        <v>6.9160000000000004</v>
      </c>
      <c r="E1018" s="30">
        <v>26199</v>
      </c>
      <c r="F1018" s="31"/>
      <c r="G1018" s="31">
        <v>1.22</v>
      </c>
      <c r="H1018" s="31">
        <v>1.35</v>
      </c>
      <c r="I1018" s="31">
        <v>1.3</v>
      </c>
      <c r="J1018" s="31"/>
      <c r="K1018" s="30">
        <f t="shared" si="180"/>
        <v>56094.678900000006</v>
      </c>
      <c r="L1018" s="30">
        <f t="shared" si="229"/>
        <v>1241668.7101</v>
      </c>
    </row>
    <row r="1019" spans="1:12" ht="30" customHeight="1" x14ac:dyDescent="0.2">
      <c r="A1019" s="27" t="s">
        <v>1596</v>
      </c>
      <c r="B1019" s="27"/>
      <c r="C1019" s="27" t="s">
        <v>1606</v>
      </c>
      <c r="D1019" s="31">
        <f t="shared" si="230"/>
        <v>7.4160000000000004</v>
      </c>
      <c r="E1019" s="30">
        <v>26199</v>
      </c>
      <c r="F1019" s="31"/>
      <c r="G1019" s="31">
        <v>1.22</v>
      </c>
      <c r="H1019" s="31">
        <v>1.35</v>
      </c>
      <c r="I1019" s="31">
        <v>1.3</v>
      </c>
      <c r="J1019" s="31"/>
      <c r="K1019" s="30">
        <f t="shared" si="180"/>
        <v>56094.678900000006</v>
      </c>
      <c r="L1019" s="30">
        <f t="shared" si="229"/>
        <v>1297763.389</v>
      </c>
    </row>
    <row r="1020" spans="1:12" ht="30" customHeight="1" x14ac:dyDescent="0.2">
      <c r="A1020" s="27" t="s">
        <v>1596</v>
      </c>
      <c r="B1020" s="27"/>
      <c r="C1020" s="27" t="s">
        <v>1607</v>
      </c>
      <c r="D1020" s="31">
        <f t="shared" si="230"/>
        <v>7.9160000000000004</v>
      </c>
      <c r="E1020" s="30">
        <v>26199</v>
      </c>
      <c r="F1020" s="31"/>
      <c r="G1020" s="31">
        <v>1.22</v>
      </c>
      <c r="H1020" s="31">
        <v>1.35</v>
      </c>
      <c r="I1020" s="31">
        <v>1.3</v>
      </c>
      <c r="J1020" s="31"/>
      <c r="K1020" s="30">
        <f t="shared" si="180"/>
        <v>56094.678900000006</v>
      </c>
      <c r="L1020" s="30">
        <f t="shared" si="229"/>
        <v>1353858.0678999999</v>
      </c>
    </row>
    <row r="1021" spans="1:12" ht="30" customHeight="1" x14ac:dyDescent="0.2">
      <c r="A1021" s="27" t="s">
        <v>1596</v>
      </c>
      <c r="B1021" s="27"/>
      <c r="C1021" s="27" t="s">
        <v>1608</v>
      </c>
      <c r="D1021" s="31">
        <f t="shared" si="230"/>
        <v>8.4160000000000004</v>
      </c>
      <c r="E1021" s="30">
        <v>26199</v>
      </c>
      <c r="F1021" s="31"/>
      <c r="G1021" s="31">
        <v>1.22</v>
      </c>
      <c r="H1021" s="31">
        <v>1.35</v>
      </c>
      <c r="I1021" s="31">
        <v>1.3</v>
      </c>
      <c r="J1021" s="31"/>
      <c r="K1021" s="30">
        <f t="shared" si="180"/>
        <v>56094.678900000006</v>
      </c>
      <c r="L1021" s="30">
        <f t="shared" si="229"/>
        <v>1409952.7467999998</v>
      </c>
    </row>
    <row r="1022" spans="1:12" ht="30" customHeight="1" x14ac:dyDescent="0.2">
      <c r="A1022" s="27" t="s">
        <v>1596</v>
      </c>
      <c r="B1022" s="27"/>
      <c r="C1022" s="27" t="s">
        <v>1609</v>
      </c>
      <c r="D1022" s="31">
        <f t="shared" si="230"/>
        <v>8.9160000000000004</v>
      </c>
      <c r="E1022" s="30">
        <v>26199</v>
      </c>
      <c r="F1022" s="31"/>
      <c r="G1022" s="31">
        <v>1.22</v>
      </c>
      <c r="H1022" s="31">
        <v>1.35</v>
      </c>
      <c r="I1022" s="31">
        <v>1.3</v>
      </c>
      <c r="J1022" s="31"/>
      <c r="K1022" s="30">
        <f t="shared" ref="K1022:K1043" si="231">PRODUCT(E1022:J1022)</f>
        <v>56094.678900000006</v>
      </c>
      <c r="L1022" s="30">
        <f t="shared" si="229"/>
        <v>1466047.4256999998</v>
      </c>
    </row>
    <row r="1023" spans="1:12" ht="30" customHeight="1" x14ac:dyDescent="0.2">
      <c r="A1023" s="27" t="s">
        <v>1596</v>
      </c>
      <c r="B1023" s="27"/>
      <c r="C1023" s="27" t="s">
        <v>1610</v>
      </c>
      <c r="D1023" s="31">
        <f>D1022+1.45</f>
        <v>10.366</v>
      </c>
      <c r="E1023" s="30">
        <v>26199</v>
      </c>
      <c r="F1023" s="31"/>
      <c r="G1023" s="31">
        <v>1.22</v>
      </c>
      <c r="H1023" s="31">
        <v>1.35</v>
      </c>
      <c r="I1023" s="31">
        <v>1.3</v>
      </c>
      <c r="J1023" s="31"/>
      <c r="K1023" s="30">
        <f t="shared" si="231"/>
        <v>56094.678900000006</v>
      </c>
      <c r="L1023" s="30">
        <f t="shared" si="229"/>
        <v>1522142.1045999997</v>
      </c>
    </row>
    <row r="1024" spans="1:12" ht="30" customHeight="1" x14ac:dyDescent="0.2">
      <c r="A1024" s="27" t="s">
        <v>1596</v>
      </c>
      <c r="B1024" s="27"/>
      <c r="C1024" s="27" t="s">
        <v>1611</v>
      </c>
      <c r="D1024" s="31">
        <f t="shared" ref="D1024:D1030" si="232">D1023+0.5</f>
        <v>10.866</v>
      </c>
      <c r="E1024" s="30">
        <v>26199</v>
      </c>
      <c r="F1024" s="31"/>
      <c r="G1024" s="31">
        <v>1.22</v>
      </c>
      <c r="H1024" s="31">
        <v>1.35</v>
      </c>
      <c r="I1024" s="31">
        <v>1.3</v>
      </c>
      <c r="J1024" s="31"/>
      <c r="K1024" s="30">
        <f t="shared" si="231"/>
        <v>56094.678900000006</v>
      </c>
      <c r="L1024" s="30">
        <f t="shared" si="229"/>
        <v>1578236.7834999997</v>
      </c>
    </row>
    <row r="1025" spans="1:12" ht="30" customHeight="1" x14ac:dyDescent="0.2">
      <c r="A1025" s="27" t="s">
        <v>1596</v>
      </c>
      <c r="B1025" s="27"/>
      <c r="C1025" s="27" t="s">
        <v>1612</v>
      </c>
      <c r="D1025" s="31">
        <f t="shared" si="232"/>
        <v>11.366</v>
      </c>
      <c r="E1025" s="30">
        <v>26199</v>
      </c>
      <c r="F1025" s="31"/>
      <c r="G1025" s="31">
        <v>1.22</v>
      </c>
      <c r="H1025" s="31">
        <v>1.35</v>
      </c>
      <c r="I1025" s="31">
        <v>1.3</v>
      </c>
      <c r="J1025" s="31"/>
      <c r="K1025" s="30">
        <f t="shared" si="231"/>
        <v>56094.678900000006</v>
      </c>
      <c r="L1025" s="30">
        <f t="shared" si="229"/>
        <v>1634331.4623999996</v>
      </c>
    </row>
    <row r="1026" spans="1:12" ht="30" customHeight="1" x14ac:dyDescent="0.2">
      <c r="A1026" s="27" t="s">
        <v>1596</v>
      </c>
      <c r="B1026" s="27"/>
      <c r="C1026" s="27" t="s">
        <v>1613</v>
      </c>
      <c r="D1026" s="31">
        <f t="shared" si="232"/>
        <v>11.866</v>
      </c>
      <c r="E1026" s="30">
        <v>26199</v>
      </c>
      <c r="F1026" s="31"/>
      <c r="G1026" s="31">
        <v>1.22</v>
      </c>
      <c r="H1026" s="31">
        <v>1.35</v>
      </c>
      <c r="I1026" s="31">
        <v>1.3</v>
      </c>
      <c r="J1026" s="31"/>
      <c r="K1026" s="30">
        <f t="shared" si="231"/>
        <v>56094.678900000006</v>
      </c>
      <c r="L1026" s="30">
        <f t="shared" si="229"/>
        <v>1690426.1412999996</v>
      </c>
    </row>
    <row r="1027" spans="1:12" ht="30" customHeight="1" x14ac:dyDescent="0.2">
      <c r="A1027" s="27" t="s">
        <v>1596</v>
      </c>
      <c r="B1027" s="27"/>
      <c r="C1027" s="27" t="s">
        <v>1614</v>
      </c>
      <c r="D1027" s="31">
        <f t="shared" si="232"/>
        <v>12.366</v>
      </c>
      <c r="E1027" s="30">
        <v>26199</v>
      </c>
      <c r="F1027" s="31"/>
      <c r="G1027" s="31">
        <v>1.22</v>
      </c>
      <c r="H1027" s="31">
        <v>1.35</v>
      </c>
      <c r="I1027" s="31">
        <v>1.3</v>
      </c>
      <c r="J1027" s="31"/>
      <c r="K1027" s="30">
        <f t="shared" si="231"/>
        <v>56094.678900000006</v>
      </c>
      <c r="L1027" s="30">
        <f t="shared" si="229"/>
        <v>1746520.8201999995</v>
      </c>
    </row>
    <row r="1028" spans="1:12" ht="30" customHeight="1" x14ac:dyDescent="0.2">
      <c r="A1028" s="27" t="s">
        <v>1596</v>
      </c>
      <c r="B1028" s="27"/>
      <c r="C1028" s="27" t="s">
        <v>1615</v>
      </c>
      <c r="D1028" s="31">
        <f t="shared" si="232"/>
        <v>12.866</v>
      </c>
      <c r="E1028" s="30">
        <v>26199</v>
      </c>
      <c r="F1028" s="31"/>
      <c r="G1028" s="31">
        <v>1.22</v>
      </c>
      <c r="H1028" s="31">
        <v>1.35</v>
      </c>
      <c r="I1028" s="31">
        <v>1.3</v>
      </c>
      <c r="J1028" s="31"/>
      <c r="K1028" s="30">
        <f t="shared" si="231"/>
        <v>56094.678900000006</v>
      </c>
      <c r="L1028" s="30">
        <f t="shared" si="229"/>
        <v>1802615.4990999994</v>
      </c>
    </row>
    <row r="1029" spans="1:12" ht="30" customHeight="1" x14ac:dyDescent="0.2">
      <c r="A1029" s="27" t="s">
        <v>1596</v>
      </c>
      <c r="B1029" s="27"/>
      <c r="C1029" s="27" t="s">
        <v>1616</v>
      </c>
      <c r="D1029" s="31">
        <f t="shared" si="232"/>
        <v>13.366</v>
      </c>
      <c r="E1029" s="30">
        <v>26199</v>
      </c>
      <c r="F1029" s="31"/>
      <c r="G1029" s="31">
        <v>1.22</v>
      </c>
      <c r="H1029" s="31">
        <v>1.35</v>
      </c>
      <c r="I1029" s="31">
        <v>1.3</v>
      </c>
      <c r="J1029" s="31"/>
      <c r="K1029" s="30">
        <f t="shared" si="231"/>
        <v>56094.678900000006</v>
      </c>
      <c r="L1029" s="30">
        <f t="shared" si="229"/>
        <v>1858710.1779999994</v>
      </c>
    </row>
    <row r="1030" spans="1:12" ht="30" customHeight="1" x14ac:dyDescent="0.2">
      <c r="A1030" s="27" t="s">
        <v>1596</v>
      </c>
      <c r="B1030" s="27"/>
      <c r="C1030" s="27" t="s">
        <v>1617</v>
      </c>
      <c r="D1030" s="31">
        <f t="shared" si="232"/>
        <v>13.866</v>
      </c>
      <c r="E1030" s="30">
        <v>26199</v>
      </c>
      <c r="F1030" s="31"/>
      <c r="G1030" s="31">
        <v>1.22</v>
      </c>
      <c r="H1030" s="31">
        <v>1.35</v>
      </c>
      <c r="I1030" s="31">
        <v>1.3</v>
      </c>
      <c r="J1030" s="31"/>
      <c r="K1030" s="30">
        <f t="shared" si="231"/>
        <v>56094.678900000006</v>
      </c>
      <c r="L1030" s="30">
        <f t="shared" si="229"/>
        <v>1914804.8568999993</v>
      </c>
    </row>
    <row r="1031" spans="1:12" ht="30" customHeight="1" x14ac:dyDescent="0.2">
      <c r="A1031" s="27" t="s">
        <v>1596</v>
      </c>
      <c r="B1031" s="27"/>
      <c r="C1031" s="27" t="s">
        <v>1618</v>
      </c>
      <c r="D1031" s="31">
        <f>D1030+1.45</f>
        <v>15.315999999999999</v>
      </c>
      <c r="E1031" s="30">
        <v>26199</v>
      </c>
      <c r="F1031" s="31"/>
      <c r="G1031" s="31">
        <v>1.22</v>
      </c>
      <c r="H1031" s="31">
        <v>1.35</v>
      </c>
      <c r="I1031" s="31">
        <v>1.3</v>
      </c>
      <c r="J1031" s="31"/>
      <c r="K1031" s="30">
        <f t="shared" si="231"/>
        <v>56094.678900000006</v>
      </c>
      <c r="L1031" s="30">
        <f t="shared" si="229"/>
        <v>1970899.5357999993</v>
      </c>
    </row>
    <row r="1032" spans="1:12" ht="30" customHeight="1" x14ac:dyDescent="0.2">
      <c r="A1032" s="27" t="s">
        <v>1596</v>
      </c>
      <c r="B1032" s="27"/>
      <c r="C1032" s="27" t="s">
        <v>1619</v>
      </c>
      <c r="D1032" s="31">
        <f t="shared" ref="D1032:D1043" si="233">D1031+0.5</f>
        <v>15.815999999999999</v>
      </c>
      <c r="E1032" s="30">
        <v>26199</v>
      </c>
      <c r="F1032" s="31"/>
      <c r="G1032" s="31">
        <v>1.22</v>
      </c>
      <c r="H1032" s="31">
        <v>1.35</v>
      </c>
      <c r="I1032" s="31">
        <v>1.3</v>
      </c>
      <c r="J1032" s="31"/>
      <c r="K1032" s="30">
        <f t="shared" si="231"/>
        <v>56094.678900000006</v>
      </c>
      <c r="L1032" s="30">
        <f t="shared" si="229"/>
        <v>2026994.2146999992</v>
      </c>
    </row>
    <row r="1033" spans="1:12" ht="30" customHeight="1" x14ac:dyDescent="0.2">
      <c r="A1033" s="27" t="s">
        <v>1596</v>
      </c>
      <c r="B1033" s="27"/>
      <c r="C1033" s="27" t="s">
        <v>1620</v>
      </c>
      <c r="D1033" s="31">
        <f t="shared" si="233"/>
        <v>16.315999999999999</v>
      </c>
      <c r="E1033" s="30">
        <v>26199</v>
      </c>
      <c r="F1033" s="31"/>
      <c r="G1033" s="31">
        <v>1.22</v>
      </c>
      <c r="H1033" s="31">
        <v>1.35</v>
      </c>
      <c r="I1033" s="31">
        <v>1.3</v>
      </c>
      <c r="J1033" s="31"/>
      <c r="K1033" s="30">
        <f t="shared" si="231"/>
        <v>56094.678900000006</v>
      </c>
      <c r="L1033" s="30">
        <f t="shared" si="229"/>
        <v>2083088.8935999991</v>
      </c>
    </row>
    <row r="1034" spans="1:12" ht="30" customHeight="1" x14ac:dyDescent="0.2">
      <c r="A1034" s="27" t="s">
        <v>1596</v>
      </c>
      <c r="B1034" s="27"/>
      <c r="C1034" s="27" t="s">
        <v>1621</v>
      </c>
      <c r="D1034" s="31">
        <f t="shared" si="233"/>
        <v>16.815999999999999</v>
      </c>
      <c r="E1034" s="30">
        <v>26199</v>
      </c>
      <c r="F1034" s="31"/>
      <c r="G1034" s="31">
        <v>1.22</v>
      </c>
      <c r="H1034" s="31">
        <v>1.35</v>
      </c>
      <c r="I1034" s="31">
        <v>1.3</v>
      </c>
      <c r="J1034" s="31"/>
      <c r="K1034" s="30">
        <f t="shared" si="231"/>
        <v>56094.678900000006</v>
      </c>
      <c r="L1034" s="30">
        <f t="shared" si="229"/>
        <v>2139183.5724999993</v>
      </c>
    </row>
    <row r="1035" spans="1:12" ht="30" customHeight="1" x14ac:dyDescent="0.2">
      <c r="A1035" s="27" t="s">
        <v>1596</v>
      </c>
      <c r="B1035" s="27"/>
      <c r="C1035" s="27" t="s">
        <v>1622</v>
      </c>
      <c r="D1035" s="31">
        <f t="shared" si="233"/>
        <v>17.315999999999999</v>
      </c>
      <c r="E1035" s="30">
        <v>26199</v>
      </c>
      <c r="F1035" s="31"/>
      <c r="G1035" s="31">
        <v>1.22</v>
      </c>
      <c r="H1035" s="31">
        <v>1.35</v>
      </c>
      <c r="I1035" s="31">
        <v>1.3</v>
      </c>
      <c r="J1035" s="31"/>
      <c r="K1035" s="30">
        <f t="shared" si="231"/>
        <v>56094.678900000006</v>
      </c>
      <c r="L1035" s="30">
        <f t="shared" si="229"/>
        <v>2195278.2513999995</v>
      </c>
    </row>
    <row r="1036" spans="1:12" ht="30" customHeight="1" x14ac:dyDescent="0.2">
      <c r="A1036" s="27" t="s">
        <v>1596</v>
      </c>
      <c r="B1036" s="27"/>
      <c r="C1036" s="27" t="s">
        <v>1623</v>
      </c>
      <c r="D1036" s="31">
        <f t="shared" si="233"/>
        <v>17.815999999999999</v>
      </c>
      <c r="E1036" s="30">
        <v>26199</v>
      </c>
      <c r="F1036" s="31"/>
      <c r="G1036" s="31">
        <v>1.22</v>
      </c>
      <c r="H1036" s="31">
        <v>1.35</v>
      </c>
      <c r="I1036" s="31">
        <v>1.3</v>
      </c>
      <c r="J1036" s="31"/>
      <c r="K1036" s="30">
        <f t="shared" si="231"/>
        <v>56094.678900000006</v>
      </c>
      <c r="L1036" s="30">
        <f t="shared" si="229"/>
        <v>2251372.9302999997</v>
      </c>
    </row>
    <row r="1037" spans="1:12" ht="30" customHeight="1" x14ac:dyDescent="0.2">
      <c r="A1037" s="27" t="s">
        <v>1596</v>
      </c>
      <c r="B1037" s="27"/>
      <c r="C1037" s="27" t="s">
        <v>1624</v>
      </c>
      <c r="D1037" s="31">
        <f t="shared" si="233"/>
        <v>18.315999999999999</v>
      </c>
      <c r="E1037" s="30">
        <v>26199</v>
      </c>
      <c r="F1037" s="31"/>
      <c r="G1037" s="31">
        <v>1.22</v>
      </c>
      <c r="H1037" s="31">
        <v>1.35</v>
      </c>
      <c r="I1037" s="31">
        <v>1.3</v>
      </c>
      <c r="J1037" s="31"/>
      <c r="K1037" s="30">
        <f t="shared" si="231"/>
        <v>56094.678900000006</v>
      </c>
      <c r="L1037" s="30">
        <f t="shared" si="229"/>
        <v>2307467.6091999998</v>
      </c>
    </row>
    <row r="1038" spans="1:12" ht="30" customHeight="1" x14ac:dyDescent="0.2">
      <c r="A1038" s="27" t="s">
        <v>1596</v>
      </c>
      <c r="B1038" s="27"/>
      <c r="C1038" s="27" t="s">
        <v>1625</v>
      </c>
      <c r="D1038" s="31">
        <f t="shared" si="233"/>
        <v>18.815999999999999</v>
      </c>
      <c r="E1038" s="30">
        <v>26199</v>
      </c>
      <c r="F1038" s="31"/>
      <c r="G1038" s="31">
        <v>1.22</v>
      </c>
      <c r="H1038" s="31">
        <v>1.35</v>
      </c>
      <c r="I1038" s="31">
        <v>1.3</v>
      </c>
      <c r="J1038" s="31"/>
      <c r="K1038" s="30">
        <f t="shared" si="231"/>
        <v>56094.678900000006</v>
      </c>
      <c r="L1038" s="30">
        <f t="shared" si="229"/>
        <v>2363562.2881</v>
      </c>
    </row>
    <row r="1039" spans="1:12" ht="30" customHeight="1" x14ac:dyDescent="0.2">
      <c r="A1039" s="27" t="s">
        <v>1596</v>
      </c>
      <c r="B1039" s="27"/>
      <c r="C1039" s="27" t="s">
        <v>1626</v>
      </c>
      <c r="D1039" s="31">
        <f t="shared" si="233"/>
        <v>19.315999999999999</v>
      </c>
      <c r="E1039" s="30">
        <v>26199</v>
      </c>
      <c r="F1039" s="31"/>
      <c r="G1039" s="31">
        <v>1.22</v>
      </c>
      <c r="H1039" s="31">
        <v>1.35</v>
      </c>
      <c r="I1039" s="31">
        <v>1.3</v>
      </c>
      <c r="J1039" s="31"/>
      <c r="K1039" s="30">
        <f t="shared" si="231"/>
        <v>56094.678900000006</v>
      </c>
      <c r="L1039" s="30">
        <f t="shared" si="229"/>
        <v>2419656.9670000002</v>
      </c>
    </row>
    <row r="1040" spans="1:12" ht="30" customHeight="1" x14ac:dyDescent="0.2">
      <c r="A1040" s="27" t="s">
        <v>1596</v>
      </c>
      <c r="B1040" s="27"/>
      <c r="C1040" s="27" t="s">
        <v>1627</v>
      </c>
      <c r="D1040" s="31">
        <f t="shared" si="233"/>
        <v>19.815999999999999</v>
      </c>
      <c r="E1040" s="30">
        <v>26199</v>
      </c>
      <c r="F1040" s="31"/>
      <c r="G1040" s="31">
        <v>1.22</v>
      </c>
      <c r="H1040" s="31">
        <v>1.35</v>
      </c>
      <c r="I1040" s="31">
        <v>1.3</v>
      </c>
      <c r="J1040" s="31"/>
      <c r="K1040" s="30">
        <f t="shared" si="231"/>
        <v>56094.678900000006</v>
      </c>
      <c r="L1040" s="30">
        <f t="shared" si="229"/>
        <v>2475751.6459000004</v>
      </c>
    </row>
    <row r="1041" spans="1:12" ht="30" customHeight="1" x14ac:dyDescent="0.2">
      <c r="A1041" s="27" t="s">
        <v>1596</v>
      </c>
      <c r="B1041" s="27"/>
      <c r="C1041" s="27" t="s">
        <v>1628</v>
      </c>
      <c r="D1041" s="31">
        <f t="shared" si="233"/>
        <v>20.315999999999999</v>
      </c>
      <c r="E1041" s="30">
        <v>26199</v>
      </c>
      <c r="F1041" s="31"/>
      <c r="G1041" s="31">
        <v>1.22</v>
      </c>
      <c r="H1041" s="31">
        <v>1.35</v>
      </c>
      <c r="I1041" s="31">
        <v>1.3</v>
      </c>
      <c r="J1041" s="31"/>
      <c r="K1041" s="30">
        <f t="shared" si="231"/>
        <v>56094.678900000006</v>
      </c>
      <c r="L1041" s="30">
        <f t="shared" si="229"/>
        <v>2531846.3248000005</v>
      </c>
    </row>
    <row r="1042" spans="1:12" ht="30" customHeight="1" x14ac:dyDescent="0.2">
      <c r="A1042" s="27" t="s">
        <v>1596</v>
      </c>
      <c r="B1042" s="27"/>
      <c r="C1042" s="27" t="s">
        <v>1629</v>
      </c>
      <c r="D1042" s="31">
        <f t="shared" si="233"/>
        <v>20.815999999999999</v>
      </c>
      <c r="E1042" s="30">
        <v>26199</v>
      </c>
      <c r="F1042" s="31"/>
      <c r="G1042" s="31">
        <v>1.22</v>
      </c>
      <c r="H1042" s="31">
        <v>1.35</v>
      </c>
      <c r="I1042" s="31">
        <v>1.3</v>
      </c>
      <c r="J1042" s="31"/>
      <c r="K1042" s="30">
        <f t="shared" si="231"/>
        <v>56094.678900000006</v>
      </c>
      <c r="L1042" s="30">
        <f t="shared" si="229"/>
        <v>2587941.0037000007</v>
      </c>
    </row>
    <row r="1043" spans="1:12" ht="30" customHeight="1" x14ac:dyDescent="0.2">
      <c r="A1043" s="27" t="s">
        <v>1596</v>
      </c>
      <c r="B1043" s="27"/>
      <c r="C1043" s="27" t="s">
        <v>1630</v>
      </c>
      <c r="D1043" s="31">
        <f t="shared" si="233"/>
        <v>21.315999999999999</v>
      </c>
      <c r="E1043" s="30">
        <v>26199</v>
      </c>
      <c r="F1043" s="31"/>
      <c r="G1043" s="31">
        <v>1.22</v>
      </c>
      <c r="H1043" s="31">
        <v>1.35</v>
      </c>
      <c r="I1043" s="31">
        <v>1.3</v>
      </c>
      <c r="J1043" s="31"/>
      <c r="K1043" s="30">
        <f t="shared" si="231"/>
        <v>56094.678900000006</v>
      </c>
      <c r="L1043" s="65">
        <f t="shared" si="229"/>
        <v>2644035.6826000009</v>
      </c>
    </row>
  </sheetData>
  <autoFilter ref="A1:L1043" xr:uid="{00000000-0009-0000-0000-000009000000}"/>
  <conditionalFormatting sqref="B2:B197 B200:B237 B248 B259 B264:B265 B267:B276 B278:B289 B291:B372 B419 B428:B430 B434 B443 B455 B463:B485 B487:B509 C490:C502 B511 B513:B516 B518:B521 B523:B526 B528:B577 B580:B583 B588:B590 B592:B594 B598:B600 B602:B690 B692:B695 B697:B698 B700:B723 B725 B727:B731 B733:B788 B790:B1008 B1010:B1040">
    <cfRule type="containsText" dxfId="17" priority="1" operator="containsText" text="!">
      <formula>NOT(ISERROR(SEARCH(("!"),(B2))))</formula>
    </cfRule>
  </conditionalFormatting>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FFFF00"/>
    <outlinePr summaryBelow="0" summaryRight="0"/>
  </sheetPr>
  <dimension ref="A1:H210"/>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11.28515625" customWidth="1"/>
    <col min="2" max="2" width="8.85546875" customWidth="1"/>
    <col min="3" max="3" width="5.140625" customWidth="1"/>
    <col min="4" max="4" width="28.42578125" customWidth="1"/>
    <col min="5" max="5" width="2.5703125" customWidth="1"/>
    <col min="6" max="7" width="8.28515625" customWidth="1"/>
    <col min="8" max="8" width="9" customWidth="1"/>
  </cols>
  <sheetData>
    <row r="1" spans="1:8" ht="30" customHeight="1" x14ac:dyDescent="0.2">
      <c r="A1" s="1" t="s">
        <v>910</v>
      </c>
      <c r="B1" s="1" t="s">
        <v>1631</v>
      </c>
      <c r="C1" s="1" t="s">
        <v>356</v>
      </c>
      <c r="D1" s="1" t="s">
        <v>1632</v>
      </c>
      <c r="E1" s="1" t="s">
        <v>189</v>
      </c>
      <c r="F1" s="1" t="s">
        <v>933</v>
      </c>
      <c r="G1" s="1" t="s">
        <v>637</v>
      </c>
      <c r="H1" s="1" t="s">
        <v>588</v>
      </c>
    </row>
    <row r="2" spans="1:8" ht="30" customHeight="1" x14ac:dyDescent="0.2">
      <c r="A2" s="172" t="s">
        <v>918</v>
      </c>
      <c r="B2" s="172" t="s">
        <v>228</v>
      </c>
      <c r="C2" s="24"/>
      <c r="D2" s="24" t="s">
        <v>1633</v>
      </c>
      <c r="E2" s="24">
        <v>1</v>
      </c>
      <c r="F2" s="68">
        <v>1.9</v>
      </c>
      <c r="G2" s="69">
        <v>736817</v>
      </c>
      <c r="H2" s="69">
        <f>G2</f>
        <v>736817</v>
      </c>
    </row>
    <row r="3" spans="1:8" ht="30" customHeight="1" x14ac:dyDescent="0.2">
      <c r="A3" s="158"/>
      <c r="B3" s="158"/>
      <c r="C3" s="24"/>
      <c r="D3" s="24" t="s">
        <v>1634</v>
      </c>
      <c r="E3" s="24">
        <v>1</v>
      </c>
      <c r="F3" s="68">
        <v>1.9</v>
      </c>
      <c r="G3" s="69">
        <v>202567</v>
      </c>
      <c r="H3" s="69">
        <f t="shared" ref="H3:H4" si="0">G3+H2</f>
        <v>939384</v>
      </c>
    </row>
    <row r="4" spans="1:8" ht="30" customHeight="1" x14ac:dyDescent="0.2">
      <c r="A4" s="158"/>
      <c r="B4" s="158"/>
      <c r="C4" s="24"/>
      <c r="D4" s="24" t="s">
        <v>1635</v>
      </c>
      <c r="E4" s="24">
        <v>15</v>
      </c>
      <c r="F4" s="68">
        <f>F3+0.333+0.233+1.083*0.75*6+(1.433+1.083*0.75)*4+2</f>
        <v>18.320499999999999</v>
      </c>
      <c r="G4" s="69">
        <f>332012*1.15*15/2</f>
        <v>2863603.5</v>
      </c>
      <c r="H4" s="70">
        <f t="shared" si="0"/>
        <v>3802987.5</v>
      </c>
    </row>
    <row r="5" spans="1:8" ht="30" customHeight="1" x14ac:dyDescent="0.2">
      <c r="A5" s="172" t="s">
        <v>915</v>
      </c>
      <c r="B5" s="172" t="s">
        <v>228</v>
      </c>
      <c r="C5" s="24"/>
      <c r="D5" s="24" t="s">
        <v>1636</v>
      </c>
      <c r="E5" s="24">
        <v>1</v>
      </c>
      <c r="F5" s="68">
        <v>1.9</v>
      </c>
      <c r="G5" s="69">
        <v>736817</v>
      </c>
      <c r="H5" s="69">
        <f>G5</f>
        <v>736817</v>
      </c>
    </row>
    <row r="6" spans="1:8" ht="30" customHeight="1" x14ac:dyDescent="0.2">
      <c r="A6" s="158"/>
      <c r="B6" s="158"/>
      <c r="C6" s="24"/>
      <c r="D6" s="24" t="s">
        <v>1637</v>
      </c>
      <c r="E6" s="24">
        <v>1</v>
      </c>
      <c r="F6" s="68">
        <v>1.9</v>
      </c>
      <c r="G6" s="69">
        <v>202567</v>
      </c>
      <c r="H6" s="69">
        <f t="shared" ref="H6:H8" si="1">G6+H5</f>
        <v>939384</v>
      </c>
    </row>
    <row r="7" spans="1:8" ht="30" customHeight="1" x14ac:dyDescent="0.2">
      <c r="A7" s="158"/>
      <c r="B7" s="158"/>
      <c r="C7" s="24"/>
      <c r="D7" s="24" t="s">
        <v>1638</v>
      </c>
      <c r="E7" s="24">
        <v>1</v>
      </c>
      <c r="F7" s="68">
        <f>F6+0.25+0.2</f>
        <v>2.35</v>
      </c>
      <c r="G7" s="69">
        <v>75861</v>
      </c>
      <c r="H7" s="69">
        <f t="shared" si="1"/>
        <v>1015245</v>
      </c>
    </row>
    <row r="8" spans="1:8" ht="30" customHeight="1" x14ac:dyDescent="0.2">
      <c r="A8" s="158"/>
      <c r="B8" s="158"/>
      <c r="C8" s="24"/>
      <c r="D8" s="24" t="s">
        <v>1639</v>
      </c>
      <c r="E8" s="24">
        <v>9</v>
      </c>
      <c r="F8" s="68">
        <f>F7+0.333+0.183+1.166+1.433*7+2</f>
        <v>16.063000000000002</v>
      </c>
      <c r="G8" s="69">
        <f>285309*9</f>
        <v>2567781</v>
      </c>
      <c r="H8" s="70">
        <f t="shared" si="1"/>
        <v>3583026</v>
      </c>
    </row>
    <row r="9" spans="1:8" ht="30" customHeight="1" x14ac:dyDescent="0.2">
      <c r="A9" s="172" t="s">
        <v>912</v>
      </c>
      <c r="B9" s="172" t="s">
        <v>228</v>
      </c>
      <c r="C9" s="24"/>
      <c r="D9" s="24" t="s">
        <v>1640</v>
      </c>
      <c r="E9" s="24">
        <v>1</v>
      </c>
      <c r="F9" s="68">
        <v>1.9</v>
      </c>
      <c r="G9" s="69">
        <v>736817</v>
      </c>
      <c r="H9" s="69">
        <f>G9</f>
        <v>736817</v>
      </c>
    </row>
    <row r="10" spans="1:8" ht="30" customHeight="1" x14ac:dyDescent="0.2">
      <c r="A10" s="158"/>
      <c r="B10" s="158"/>
      <c r="C10" s="24"/>
      <c r="D10" s="24" t="s">
        <v>1641</v>
      </c>
      <c r="E10" s="24">
        <v>1</v>
      </c>
      <c r="F10" s="68">
        <v>1.9</v>
      </c>
      <c r="G10" s="69">
        <v>202567</v>
      </c>
      <c r="H10" s="69">
        <f t="shared" ref="H10:H12" si="2">G10+H9</f>
        <v>939384</v>
      </c>
    </row>
    <row r="11" spans="1:8" ht="30" customHeight="1" x14ac:dyDescent="0.2">
      <c r="A11" s="158"/>
      <c r="B11" s="158"/>
      <c r="C11" s="24"/>
      <c r="D11" s="24" t="s">
        <v>1642</v>
      </c>
      <c r="E11" s="24">
        <v>1</v>
      </c>
      <c r="F11" s="68">
        <f>F10+0.25+0.2</f>
        <v>2.35</v>
      </c>
      <c r="G11" s="69">
        <v>75861</v>
      </c>
      <c r="H11" s="69">
        <f t="shared" si="2"/>
        <v>1015245</v>
      </c>
    </row>
    <row r="12" spans="1:8" ht="30" customHeight="1" x14ac:dyDescent="0.2">
      <c r="A12" s="158"/>
      <c r="B12" s="158"/>
      <c r="C12" s="24"/>
      <c r="D12" s="24" t="s">
        <v>1643</v>
      </c>
      <c r="E12" s="24">
        <v>10</v>
      </c>
      <c r="F12" s="68">
        <f>F11+0.333+0.233+1.083*3+1.433*6+2</f>
        <v>16.763000000000002</v>
      </c>
      <c r="G12" s="69">
        <f>328105*9+328105/1.289</f>
        <v>3207487.280837859</v>
      </c>
      <c r="H12" s="70">
        <f t="shared" si="2"/>
        <v>4222732.280837859</v>
      </c>
    </row>
    <row r="13" spans="1:8" ht="30" customHeight="1" x14ac:dyDescent="0.2">
      <c r="A13" s="172" t="s">
        <v>927</v>
      </c>
      <c r="B13" s="172" t="s">
        <v>232</v>
      </c>
      <c r="C13" s="24"/>
      <c r="D13" s="24" t="s">
        <v>1644</v>
      </c>
      <c r="E13" s="24">
        <v>1</v>
      </c>
      <c r="F13" s="68">
        <v>1.9</v>
      </c>
      <c r="G13" s="69">
        <v>736817</v>
      </c>
      <c r="H13" s="69">
        <f>G13</f>
        <v>736817</v>
      </c>
    </row>
    <row r="14" spans="1:8" ht="30" customHeight="1" x14ac:dyDescent="0.2">
      <c r="A14" s="158"/>
      <c r="B14" s="158"/>
      <c r="C14" s="24"/>
      <c r="D14" s="24" t="s">
        <v>1645</v>
      </c>
      <c r="E14" s="24">
        <v>1</v>
      </c>
      <c r="F14" s="68">
        <v>1.9</v>
      </c>
      <c r="G14" s="69">
        <v>202567</v>
      </c>
      <c r="H14" s="69">
        <f t="shared" ref="H14:H15" si="3">G14+H13</f>
        <v>939384</v>
      </c>
    </row>
    <row r="15" spans="1:8" ht="30" customHeight="1" x14ac:dyDescent="0.2">
      <c r="A15" s="158"/>
      <c r="B15" s="158"/>
      <c r="C15" s="27"/>
      <c r="D15" s="24" t="s">
        <v>1646</v>
      </c>
      <c r="E15" s="24">
        <v>23</v>
      </c>
      <c r="F15" s="68">
        <f>F14+0.25+1.383*23</f>
        <v>33.959000000000003</v>
      </c>
      <c r="G15" s="69">
        <f>159650*23</f>
        <v>3671950</v>
      </c>
      <c r="H15" s="70">
        <f t="shared" si="3"/>
        <v>4611334</v>
      </c>
    </row>
    <row r="16" spans="1:8" ht="30" customHeight="1" x14ac:dyDescent="0.2">
      <c r="A16" s="172" t="s">
        <v>930</v>
      </c>
      <c r="B16" s="172" t="s">
        <v>346</v>
      </c>
      <c r="C16" s="24"/>
      <c r="D16" s="24" t="s">
        <v>1647</v>
      </c>
      <c r="E16" s="24">
        <v>1</v>
      </c>
      <c r="F16" s="68">
        <v>0.33300000000000002</v>
      </c>
      <c r="G16" s="69">
        <v>62181</v>
      </c>
      <c r="H16" s="69">
        <f>G16</f>
        <v>62181</v>
      </c>
    </row>
    <row r="17" spans="1:8" ht="30" customHeight="1" x14ac:dyDescent="0.2">
      <c r="A17" s="158"/>
      <c r="B17" s="158"/>
      <c r="C17" s="24"/>
      <c r="D17" s="24" t="s">
        <v>1648</v>
      </c>
      <c r="E17" s="24">
        <v>1</v>
      </c>
      <c r="F17" s="68">
        <f>F16+1.9</f>
        <v>2.2330000000000001</v>
      </c>
      <c r="G17" s="69">
        <v>736817</v>
      </c>
      <c r="H17" s="69">
        <f t="shared" ref="H17:H28" si="4">G17+H16</f>
        <v>798998</v>
      </c>
    </row>
    <row r="18" spans="1:8" ht="30" customHeight="1" x14ac:dyDescent="0.2">
      <c r="A18" s="158"/>
      <c r="B18" s="158"/>
      <c r="C18" s="27"/>
      <c r="D18" s="24" t="s">
        <v>1649</v>
      </c>
      <c r="E18" s="24">
        <v>1</v>
      </c>
      <c r="F18" s="68">
        <f>F17+0.3</f>
        <v>2.5329999999999999</v>
      </c>
      <c r="G18" s="69">
        <v>154087</v>
      </c>
      <c r="H18" s="69">
        <f t="shared" si="4"/>
        <v>953085</v>
      </c>
    </row>
    <row r="19" spans="1:8" ht="30" customHeight="1" x14ac:dyDescent="0.2">
      <c r="A19" s="158"/>
      <c r="B19" s="158"/>
      <c r="C19" s="27"/>
      <c r="D19" s="24" t="s">
        <v>1650</v>
      </c>
      <c r="E19" s="24">
        <v>10</v>
      </c>
      <c r="F19" s="68">
        <f>F18+1+1.05*9</f>
        <v>12.983000000000001</v>
      </c>
      <c r="G19" s="69">
        <f>104072*10</f>
        <v>1040720</v>
      </c>
      <c r="H19" s="69">
        <f t="shared" si="4"/>
        <v>1993805</v>
      </c>
    </row>
    <row r="20" spans="1:8" ht="30" customHeight="1" x14ac:dyDescent="0.2">
      <c r="A20" s="158"/>
      <c r="B20" s="158"/>
      <c r="C20" s="27"/>
      <c r="D20" s="24" t="s">
        <v>1651</v>
      </c>
      <c r="E20" s="24">
        <v>1</v>
      </c>
      <c r="F20" s="68">
        <f>F19+1.65</f>
        <v>14.633000000000001</v>
      </c>
      <c r="G20" s="69">
        <v>154087</v>
      </c>
      <c r="H20" s="69">
        <f t="shared" si="4"/>
        <v>2147892</v>
      </c>
    </row>
    <row r="21" spans="1:8" ht="30" customHeight="1" x14ac:dyDescent="0.2">
      <c r="A21" s="158"/>
      <c r="B21" s="158"/>
      <c r="C21" s="24"/>
      <c r="D21" s="24" t="s">
        <v>1652</v>
      </c>
      <c r="E21" s="24">
        <v>1</v>
      </c>
      <c r="F21" s="68">
        <f>F20+0.266+0.2</f>
        <v>15.099</v>
      </c>
      <c r="G21" s="69">
        <v>62181</v>
      </c>
      <c r="H21" s="69">
        <f t="shared" si="4"/>
        <v>2210073</v>
      </c>
    </row>
    <row r="22" spans="1:8" ht="30" customHeight="1" x14ac:dyDescent="0.2">
      <c r="A22" s="158"/>
      <c r="B22" s="158"/>
      <c r="C22" s="27"/>
      <c r="D22" s="24" t="s">
        <v>1653</v>
      </c>
      <c r="E22" s="24">
        <v>12</v>
      </c>
      <c r="F22" s="68">
        <f>F21+1+1.05*11</f>
        <v>27.649000000000001</v>
      </c>
      <c r="G22" s="69">
        <f>104072*12</f>
        <v>1248864</v>
      </c>
      <c r="H22" s="69">
        <f t="shared" si="4"/>
        <v>3458937</v>
      </c>
    </row>
    <row r="23" spans="1:8" ht="30" customHeight="1" x14ac:dyDescent="0.2">
      <c r="A23" s="158"/>
      <c r="B23" s="158"/>
      <c r="C23" s="27"/>
      <c r="D23" s="24" t="s">
        <v>1654</v>
      </c>
      <c r="E23" s="24">
        <v>1</v>
      </c>
      <c r="F23" s="68">
        <f>F22+1.65</f>
        <v>29.298999999999999</v>
      </c>
      <c r="G23" s="69">
        <v>154087</v>
      </c>
      <c r="H23" s="69">
        <f t="shared" si="4"/>
        <v>3613024</v>
      </c>
    </row>
    <row r="24" spans="1:8" ht="30" customHeight="1" x14ac:dyDescent="0.2">
      <c r="A24" s="158"/>
      <c r="B24" s="158"/>
      <c r="C24" s="24"/>
      <c r="D24" s="24" t="s">
        <v>1655</v>
      </c>
      <c r="E24" s="24">
        <v>1</v>
      </c>
      <c r="F24" s="68">
        <f>F23+0.266+0.2</f>
        <v>29.764999999999997</v>
      </c>
      <c r="G24" s="69">
        <v>62181</v>
      </c>
      <c r="H24" s="69">
        <f t="shared" si="4"/>
        <v>3675205</v>
      </c>
    </row>
    <row r="25" spans="1:8" ht="30" customHeight="1" x14ac:dyDescent="0.2">
      <c r="A25" s="158"/>
      <c r="B25" s="158"/>
      <c r="C25" s="27"/>
      <c r="D25" s="24" t="s">
        <v>1656</v>
      </c>
      <c r="E25" s="24">
        <v>12</v>
      </c>
      <c r="F25" s="68">
        <f>F24+1+1.05*11</f>
        <v>42.314999999999998</v>
      </c>
      <c r="G25" s="69">
        <f>104072*12</f>
        <v>1248864</v>
      </c>
      <c r="H25" s="69">
        <f t="shared" si="4"/>
        <v>4924069</v>
      </c>
    </row>
    <row r="26" spans="1:8" ht="30" customHeight="1" x14ac:dyDescent="0.2">
      <c r="A26" s="158"/>
      <c r="B26" s="158"/>
      <c r="C26" s="27"/>
      <c r="D26" s="24" t="s">
        <v>1657</v>
      </c>
      <c r="E26" s="24">
        <v>1</v>
      </c>
      <c r="F26" s="68">
        <f>F25+1.65</f>
        <v>43.964999999999996</v>
      </c>
      <c r="G26" s="69">
        <v>154087</v>
      </c>
      <c r="H26" s="69">
        <f t="shared" si="4"/>
        <v>5078156</v>
      </c>
    </row>
    <row r="27" spans="1:8" ht="30" customHeight="1" x14ac:dyDescent="0.2">
      <c r="A27" s="158"/>
      <c r="B27" s="158"/>
      <c r="C27" s="24"/>
      <c r="D27" s="24" t="s">
        <v>1658</v>
      </c>
      <c r="E27" s="24">
        <v>1</v>
      </c>
      <c r="F27" s="68">
        <f>F26+0.266+0.2</f>
        <v>44.430999999999997</v>
      </c>
      <c r="G27" s="69">
        <v>62181</v>
      </c>
      <c r="H27" s="69">
        <f t="shared" si="4"/>
        <v>5140337</v>
      </c>
    </row>
    <row r="28" spans="1:8" ht="30" customHeight="1" x14ac:dyDescent="0.2">
      <c r="A28" s="158"/>
      <c r="B28" s="158"/>
      <c r="C28" s="27"/>
      <c r="D28" s="24" t="s">
        <v>1659</v>
      </c>
      <c r="E28" s="24">
        <v>9</v>
      </c>
      <c r="F28" s="68">
        <f>F27+1+1.05*11</f>
        <v>56.980999999999995</v>
      </c>
      <c r="G28" s="69">
        <f>104072*12</f>
        <v>1248864</v>
      </c>
      <c r="H28" s="70">
        <f t="shared" si="4"/>
        <v>6389201</v>
      </c>
    </row>
    <row r="29" spans="1:8" ht="30" customHeight="1" x14ac:dyDescent="0.2">
      <c r="A29" s="172" t="s">
        <v>919</v>
      </c>
      <c r="B29" s="172" t="s">
        <v>232</v>
      </c>
      <c r="C29" s="24"/>
      <c r="D29" s="24" t="s">
        <v>1660</v>
      </c>
      <c r="E29" s="24">
        <v>1</v>
      </c>
      <c r="F29" s="68">
        <v>1.9</v>
      </c>
      <c r="G29" s="69">
        <v>736817</v>
      </c>
      <c r="H29" s="69">
        <f>G29</f>
        <v>736817</v>
      </c>
    </row>
    <row r="30" spans="1:8" ht="30" customHeight="1" x14ac:dyDescent="0.2">
      <c r="A30" s="158"/>
      <c r="B30" s="158"/>
      <c r="C30" s="27"/>
      <c r="D30" s="24" t="s">
        <v>1661</v>
      </c>
      <c r="E30" s="24">
        <v>2</v>
      </c>
      <c r="F30" s="68">
        <f>F29+0.416</f>
        <v>2.3159999999999998</v>
      </c>
      <c r="G30" s="69">
        <v>96270</v>
      </c>
      <c r="H30" s="69">
        <f t="shared" ref="H30:H37" si="5">G30+H29</f>
        <v>833087</v>
      </c>
    </row>
    <row r="31" spans="1:8" ht="30" customHeight="1" x14ac:dyDescent="0.2">
      <c r="A31" s="158"/>
      <c r="B31" s="158"/>
      <c r="C31" s="27"/>
      <c r="D31" s="24" t="s">
        <v>1662</v>
      </c>
      <c r="E31" s="24">
        <v>6</v>
      </c>
      <c r="F31" s="68">
        <f>F30+0.316+0.283+1.533</f>
        <v>4.4479999999999995</v>
      </c>
      <c r="G31" s="69">
        <v>456919</v>
      </c>
      <c r="H31" s="69">
        <f t="shared" si="5"/>
        <v>1290006</v>
      </c>
    </row>
    <row r="32" spans="1:8" ht="30" customHeight="1" x14ac:dyDescent="0.2">
      <c r="A32" s="158"/>
      <c r="B32" s="158"/>
      <c r="C32" s="27"/>
      <c r="D32" s="24" t="s">
        <v>462</v>
      </c>
      <c r="E32" s="24">
        <v>3</v>
      </c>
      <c r="F32" s="68">
        <f>F31+0.316+0.183+0.866</f>
        <v>5.8129999999999988</v>
      </c>
      <c r="G32" s="69">
        <v>138009</v>
      </c>
      <c r="H32" s="69">
        <f t="shared" si="5"/>
        <v>1428015</v>
      </c>
    </row>
    <row r="33" spans="1:8" ht="30" customHeight="1" x14ac:dyDescent="0.2">
      <c r="A33" s="158"/>
      <c r="B33" s="158"/>
      <c r="C33" s="27"/>
      <c r="D33" s="24" t="s">
        <v>1663</v>
      </c>
      <c r="E33" s="24">
        <v>2</v>
      </c>
      <c r="F33" s="68">
        <f>F32+0.3+0.166+0.416</f>
        <v>6.6949999999999994</v>
      </c>
      <c r="G33" s="69">
        <v>96270</v>
      </c>
      <c r="H33" s="69">
        <f t="shared" si="5"/>
        <v>1524285</v>
      </c>
    </row>
    <row r="34" spans="1:8" ht="30" customHeight="1" x14ac:dyDescent="0.2">
      <c r="A34" s="158"/>
      <c r="B34" s="158"/>
      <c r="C34" s="27"/>
      <c r="D34" s="24" t="s">
        <v>1664</v>
      </c>
      <c r="E34" s="24">
        <v>6</v>
      </c>
      <c r="F34" s="68">
        <f>F33+0.316+0.283+1.533</f>
        <v>8.827</v>
      </c>
      <c r="G34" s="69">
        <v>456919</v>
      </c>
      <c r="H34" s="69">
        <f t="shared" si="5"/>
        <v>1981204</v>
      </c>
    </row>
    <row r="35" spans="1:8" ht="30" customHeight="1" x14ac:dyDescent="0.2">
      <c r="A35" s="158"/>
      <c r="B35" s="158"/>
      <c r="C35" s="27"/>
      <c r="D35" s="24" t="s">
        <v>462</v>
      </c>
      <c r="E35" s="24">
        <v>3</v>
      </c>
      <c r="F35" s="68">
        <f>F34+0.316+0.183+0.866</f>
        <v>10.192</v>
      </c>
      <c r="G35" s="69">
        <v>138009</v>
      </c>
      <c r="H35" s="69">
        <f t="shared" si="5"/>
        <v>2119213</v>
      </c>
    </row>
    <row r="36" spans="1:8" ht="30" customHeight="1" x14ac:dyDescent="0.2">
      <c r="A36" s="158"/>
      <c r="B36" s="158"/>
      <c r="C36" s="27"/>
      <c r="D36" s="24" t="s">
        <v>1665</v>
      </c>
      <c r="E36" s="24">
        <v>2</v>
      </c>
      <c r="F36" s="68">
        <f>F35+0.3+0.166+0.416</f>
        <v>11.074000000000002</v>
      </c>
      <c r="G36" s="69">
        <v>96270</v>
      </c>
      <c r="H36" s="69">
        <f t="shared" si="5"/>
        <v>2215483</v>
      </c>
    </row>
    <row r="37" spans="1:8" ht="30" customHeight="1" x14ac:dyDescent="0.2">
      <c r="A37" s="158"/>
      <c r="B37" s="158"/>
      <c r="C37" s="27"/>
      <c r="D37" s="24" t="s">
        <v>1666</v>
      </c>
      <c r="E37" s="24">
        <v>6</v>
      </c>
      <c r="F37" s="68">
        <f>F36+0.316+0.283+1.533</f>
        <v>13.206000000000001</v>
      </c>
      <c r="G37" s="69">
        <v>456919</v>
      </c>
      <c r="H37" s="70">
        <f t="shared" si="5"/>
        <v>2672402</v>
      </c>
    </row>
    <row r="38" spans="1:8" ht="30" customHeight="1" x14ac:dyDescent="0.2">
      <c r="A38" s="172" t="s">
        <v>923</v>
      </c>
      <c r="B38" s="172" t="s">
        <v>230</v>
      </c>
      <c r="C38" s="27"/>
      <c r="D38" s="172" t="s">
        <v>1667</v>
      </c>
      <c r="E38" s="172">
        <v>2</v>
      </c>
      <c r="F38" s="171">
        <v>2.15</v>
      </c>
      <c r="G38" s="69">
        <f>2*43342*1.135*1.35*1.3+2</f>
        <v>172670.02670000002</v>
      </c>
      <c r="H38" s="69">
        <f>G38</f>
        <v>172670.02670000002</v>
      </c>
    </row>
    <row r="39" spans="1:8" ht="30" customHeight="1" x14ac:dyDescent="0.2">
      <c r="A39" s="158"/>
      <c r="B39" s="158"/>
      <c r="C39" s="27"/>
      <c r="D39" s="158"/>
      <c r="E39" s="158"/>
      <c r="F39" s="158"/>
      <c r="G39" s="69">
        <f>2*27149*1.22*1.35*1.3</f>
        <v>116257.44779999999</v>
      </c>
      <c r="H39" s="69">
        <f t="shared" ref="H39:H46" si="6">G39+H38</f>
        <v>288927.47450000001</v>
      </c>
    </row>
    <row r="40" spans="1:8" ht="30" customHeight="1" x14ac:dyDescent="0.2">
      <c r="A40" s="158"/>
      <c r="B40" s="158"/>
      <c r="C40" s="27"/>
      <c r="D40" s="24" t="s">
        <v>1668</v>
      </c>
      <c r="E40" s="24">
        <v>4</v>
      </c>
      <c r="F40" s="68">
        <f>F38+0.55+0.183+1.166*3</f>
        <v>6.3810000000000002</v>
      </c>
      <c r="G40" s="69">
        <f>285309*4</f>
        <v>1141236</v>
      </c>
      <c r="H40" s="69">
        <f t="shared" si="6"/>
        <v>1430163.4745</v>
      </c>
    </row>
    <row r="41" spans="1:8" ht="30" customHeight="1" x14ac:dyDescent="0.2">
      <c r="A41" s="158"/>
      <c r="B41" s="158"/>
      <c r="C41" s="27"/>
      <c r="D41" s="172" t="s">
        <v>1669</v>
      </c>
      <c r="E41" s="172">
        <v>2</v>
      </c>
      <c r="F41" s="171">
        <f>F40+0.333+0.216+2.15</f>
        <v>9.08</v>
      </c>
      <c r="G41" s="69">
        <f>2*43342*1.135*1.35*1.3+2</f>
        <v>172670.02670000002</v>
      </c>
      <c r="H41" s="69">
        <f t="shared" si="6"/>
        <v>1602833.5012000001</v>
      </c>
    </row>
    <row r="42" spans="1:8" ht="30" customHeight="1" x14ac:dyDescent="0.2">
      <c r="A42" s="158"/>
      <c r="B42" s="158"/>
      <c r="C42" s="27"/>
      <c r="D42" s="158"/>
      <c r="E42" s="158"/>
      <c r="F42" s="158"/>
      <c r="G42" s="69">
        <f>2*27149*1.22*1.35*1.3</f>
        <v>116257.44779999999</v>
      </c>
      <c r="H42" s="69">
        <f t="shared" si="6"/>
        <v>1719090.949</v>
      </c>
    </row>
    <row r="43" spans="1:8" ht="30" customHeight="1" x14ac:dyDescent="0.2">
      <c r="A43" s="158"/>
      <c r="B43" s="158"/>
      <c r="C43" s="27"/>
      <c r="D43" s="24" t="s">
        <v>1670</v>
      </c>
      <c r="E43" s="24">
        <v>3</v>
      </c>
      <c r="F43" s="68">
        <f>F41+0.55+0.183+1.166*2</f>
        <v>12.145</v>
      </c>
      <c r="G43" s="69">
        <f>285309*3</f>
        <v>855927</v>
      </c>
      <c r="H43" s="69">
        <f t="shared" si="6"/>
        <v>2575017.949</v>
      </c>
    </row>
    <row r="44" spans="1:8" ht="30" customHeight="1" x14ac:dyDescent="0.2">
      <c r="A44" s="158"/>
      <c r="B44" s="158"/>
      <c r="C44" s="27"/>
      <c r="D44" s="172" t="s">
        <v>1671</v>
      </c>
      <c r="E44" s="172">
        <v>2</v>
      </c>
      <c r="F44" s="171">
        <f>F43+0.333+0.216+2.15</f>
        <v>14.843999999999999</v>
      </c>
      <c r="G44" s="69">
        <f>2*43342*1.135*1.35*1.3+2</f>
        <v>172670.02670000002</v>
      </c>
      <c r="H44" s="69">
        <f t="shared" si="6"/>
        <v>2747687.9756999998</v>
      </c>
    </row>
    <row r="45" spans="1:8" ht="30" customHeight="1" x14ac:dyDescent="0.2">
      <c r="A45" s="158"/>
      <c r="B45" s="158"/>
      <c r="C45" s="27"/>
      <c r="D45" s="158"/>
      <c r="E45" s="158"/>
      <c r="F45" s="158"/>
      <c r="G45" s="69">
        <f>2*27149*1.22*1.35*1.3</f>
        <v>116257.44779999999</v>
      </c>
      <c r="H45" s="69">
        <f t="shared" si="6"/>
        <v>2863945.4235</v>
      </c>
    </row>
    <row r="46" spans="1:8" ht="30" customHeight="1" x14ac:dyDescent="0.2">
      <c r="A46" s="158"/>
      <c r="B46" s="158"/>
      <c r="C46" s="27"/>
      <c r="D46" s="24" t="s">
        <v>1672</v>
      </c>
      <c r="E46" s="24">
        <v>2</v>
      </c>
      <c r="F46" s="68">
        <f>F44+0.55+0.183+1.166+2</f>
        <v>18.742999999999999</v>
      </c>
      <c r="G46" s="69">
        <f>285309*2</f>
        <v>570618</v>
      </c>
      <c r="H46" s="70">
        <f t="shared" si="6"/>
        <v>3434563.4235</v>
      </c>
    </row>
    <row r="47" spans="1:8" ht="30" customHeight="1" x14ac:dyDescent="0.2">
      <c r="A47" s="172" t="s">
        <v>430</v>
      </c>
      <c r="B47" s="172" t="s">
        <v>228</v>
      </c>
      <c r="C47" s="24"/>
      <c r="D47" s="24" t="s">
        <v>1673</v>
      </c>
      <c r="E47" s="24">
        <v>1</v>
      </c>
      <c r="F47" s="68">
        <v>1.9</v>
      </c>
      <c r="G47" s="69">
        <v>736817</v>
      </c>
      <c r="H47" s="69">
        <f>G47</f>
        <v>736817</v>
      </c>
    </row>
    <row r="48" spans="1:8" ht="30" customHeight="1" x14ac:dyDescent="0.2">
      <c r="A48" s="158"/>
      <c r="B48" s="158"/>
      <c r="C48" s="27"/>
      <c r="D48" s="24" t="s">
        <v>1674</v>
      </c>
      <c r="E48" s="24">
        <v>9</v>
      </c>
      <c r="F48" s="68">
        <f>F47+18.334</f>
        <v>20.233999999999998</v>
      </c>
      <c r="G48" s="69">
        <f>139170*1.22*1.35*1.3*9</f>
        <v>2681791.9830000005</v>
      </c>
      <c r="H48" s="70">
        <f>G48+H47</f>
        <v>3418608.9830000005</v>
      </c>
    </row>
    <row r="49" spans="1:8" ht="30" customHeight="1" x14ac:dyDescent="0.2">
      <c r="A49" s="172" t="s">
        <v>928</v>
      </c>
      <c r="B49" s="172" t="s">
        <v>344</v>
      </c>
      <c r="C49" s="27"/>
      <c r="D49" s="24" t="s">
        <v>236</v>
      </c>
      <c r="E49" s="24">
        <v>1</v>
      </c>
      <c r="F49" s="68">
        <v>0</v>
      </c>
      <c r="G49" s="69">
        <v>57442</v>
      </c>
      <c r="H49" s="69">
        <f>G49</f>
        <v>57442</v>
      </c>
    </row>
    <row r="50" spans="1:8" ht="30" customHeight="1" x14ac:dyDescent="0.2">
      <c r="A50" s="158"/>
      <c r="B50" s="158"/>
      <c r="C50" s="27"/>
      <c r="D50" s="24" t="s">
        <v>1675</v>
      </c>
      <c r="E50" s="24">
        <v>1</v>
      </c>
      <c r="F50" s="68">
        <v>1.9</v>
      </c>
      <c r="G50" s="69">
        <v>736817</v>
      </c>
      <c r="H50" s="69">
        <f t="shared" ref="H50:H53" si="7">G50+H49</f>
        <v>794259</v>
      </c>
    </row>
    <row r="51" spans="1:8" ht="30" customHeight="1" x14ac:dyDescent="0.2">
      <c r="A51" s="158"/>
      <c r="B51" s="158"/>
      <c r="C51" s="27"/>
      <c r="D51" s="172" t="s">
        <v>1676</v>
      </c>
      <c r="E51" s="172">
        <v>14</v>
      </c>
      <c r="F51" s="171">
        <f>F50+22.163</f>
        <v>24.062999999999999</v>
      </c>
      <c r="G51" s="69">
        <f>61536*14</f>
        <v>861504</v>
      </c>
      <c r="H51" s="69">
        <f t="shared" si="7"/>
        <v>1655763</v>
      </c>
    </row>
    <row r="52" spans="1:8" ht="30" customHeight="1" x14ac:dyDescent="0.2">
      <c r="A52" s="158"/>
      <c r="B52" s="158"/>
      <c r="C52" s="27"/>
      <c r="D52" s="158"/>
      <c r="E52" s="158"/>
      <c r="F52" s="158"/>
      <c r="G52" s="69">
        <f>53510*14</f>
        <v>749140</v>
      </c>
      <c r="H52" s="69">
        <f t="shared" si="7"/>
        <v>2404903</v>
      </c>
    </row>
    <row r="53" spans="1:8" ht="30" customHeight="1" x14ac:dyDescent="0.2">
      <c r="A53" s="158"/>
      <c r="B53" s="158"/>
      <c r="C53" s="27"/>
      <c r="D53" s="158"/>
      <c r="E53" s="158"/>
      <c r="F53" s="158"/>
      <c r="G53" s="69">
        <f>57442*14</f>
        <v>804188</v>
      </c>
      <c r="H53" s="70">
        <f t="shared" si="7"/>
        <v>3209091</v>
      </c>
    </row>
    <row r="54" spans="1:8" ht="30" customHeight="1" x14ac:dyDescent="0.2">
      <c r="A54" s="172" t="s">
        <v>928</v>
      </c>
      <c r="B54" s="172" t="s">
        <v>230</v>
      </c>
      <c r="C54" s="27"/>
      <c r="D54" s="172" t="s">
        <v>1677</v>
      </c>
      <c r="E54" s="172">
        <v>18</v>
      </c>
      <c r="F54" s="171">
        <v>29.617000000000001</v>
      </c>
      <c r="G54" s="69">
        <f>61536*18</f>
        <v>1107648</v>
      </c>
      <c r="H54" s="69">
        <f>G54</f>
        <v>1107648</v>
      </c>
    </row>
    <row r="55" spans="1:8" ht="30" customHeight="1" x14ac:dyDescent="0.2">
      <c r="A55" s="158"/>
      <c r="B55" s="158"/>
      <c r="C55" s="27"/>
      <c r="D55" s="158"/>
      <c r="E55" s="158"/>
      <c r="F55" s="158"/>
      <c r="G55" s="69">
        <f>53510*18</f>
        <v>963180</v>
      </c>
      <c r="H55" s="69">
        <f t="shared" ref="H55:H56" si="8">G55+H54</f>
        <v>2070828</v>
      </c>
    </row>
    <row r="56" spans="1:8" ht="30" customHeight="1" x14ac:dyDescent="0.2">
      <c r="A56" s="158"/>
      <c r="B56" s="158"/>
      <c r="C56" s="27"/>
      <c r="D56" s="158"/>
      <c r="E56" s="158"/>
      <c r="F56" s="158"/>
      <c r="G56" s="69">
        <f>57442*18</f>
        <v>1033956</v>
      </c>
      <c r="H56" s="70">
        <f t="shared" si="8"/>
        <v>3104784</v>
      </c>
    </row>
    <row r="57" spans="1:8" ht="30" customHeight="1" x14ac:dyDescent="0.2">
      <c r="A57" s="172" t="s">
        <v>926</v>
      </c>
      <c r="B57" s="172" t="s">
        <v>230</v>
      </c>
      <c r="C57" s="27"/>
      <c r="D57" s="24" t="s">
        <v>212</v>
      </c>
      <c r="E57" s="24">
        <v>1</v>
      </c>
      <c r="F57" s="68">
        <v>0</v>
      </c>
      <c r="G57" s="69">
        <v>153183</v>
      </c>
      <c r="H57" s="69">
        <f>G57</f>
        <v>153183</v>
      </c>
    </row>
    <row r="58" spans="1:8" ht="30" customHeight="1" x14ac:dyDescent="0.2">
      <c r="A58" s="158"/>
      <c r="B58" s="158"/>
      <c r="C58" s="27"/>
      <c r="D58" s="172" t="s">
        <v>1678</v>
      </c>
      <c r="E58" s="24">
        <v>18</v>
      </c>
      <c r="F58" s="171">
        <f>F57+(0.183+1.82475+0.216+0.3)*9+4*0.416+2</f>
        <v>26.377750000000002</v>
      </c>
      <c r="G58" s="52">
        <f>67491*18</f>
        <v>1214838</v>
      </c>
      <c r="H58" s="69">
        <f t="shared" ref="H58:H60" si="9">G58+H57</f>
        <v>1368021</v>
      </c>
    </row>
    <row r="59" spans="1:8" ht="30" customHeight="1" x14ac:dyDescent="0.2">
      <c r="A59" s="158"/>
      <c r="B59" s="158"/>
      <c r="C59" s="27"/>
      <c r="D59" s="158"/>
      <c r="E59" s="24">
        <v>18</v>
      </c>
      <c r="F59" s="158"/>
      <c r="G59" s="69">
        <f>68773*18</f>
        <v>1237914</v>
      </c>
      <c r="H59" s="69">
        <f t="shared" si="9"/>
        <v>2605935</v>
      </c>
    </row>
    <row r="60" spans="1:8" ht="30" customHeight="1" x14ac:dyDescent="0.2">
      <c r="A60" s="158"/>
      <c r="B60" s="158"/>
      <c r="C60" s="27"/>
      <c r="D60" s="158"/>
      <c r="E60" s="24">
        <v>9</v>
      </c>
      <c r="F60" s="158"/>
      <c r="G60" s="69">
        <f>153183*9</f>
        <v>1378647</v>
      </c>
      <c r="H60" s="70">
        <f t="shared" si="9"/>
        <v>3984582</v>
      </c>
    </row>
    <row r="61" spans="1:8" ht="30" customHeight="1" x14ac:dyDescent="0.2">
      <c r="A61" s="172" t="s">
        <v>929</v>
      </c>
      <c r="B61" s="172" t="s">
        <v>344</v>
      </c>
      <c r="C61" s="27"/>
      <c r="D61" s="24" t="s">
        <v>236</v>
      </c>
      <c r="E61" s="24">
        <v>1</v>
      </c>
      <c r="F61" s="68">
        <v>0</v>
      </c>
      <c r="G61" s="69">
        <v>47353</v>
      </c>
      <c r="H61" s="69">
        <f>G61</f>
        <v>47353</v>
      </c>
    </row>
    <row r="62" spans="1:8" ht="30" customHeight="1" x14ac:dyDescent="0.2">
      <c r="A62" s="158"/>
      <c r="B62" s="158"/>
      <c r="C62" s="27"/>
      <c r="D62" s="24" t="s">
        <v>1679</v>
      </c>
      <c r="E62" s="24">
        <v>1</v>
      </c>
      <c r="F62" s="68">
        <v>1.9</v>
      </c>
      <c r="G62" s="69">
        <v>736817</v>
      </c>
      <c r="H62" s="69">
        <f t="shared" ref="H62:H65" si="10">G62+H61</f>
        <v>784170</v>
      </c>
    </row>
    <row r="63" spans="1:8" ht="30" customHeight="1" x14ac:dyDescent="0.2">
      <c r="A63" s="158"/>
      <c r="B63" s="158"/>
      <c r="C63" s="27"/>
      <c r="D63" s="172" t="s">
        <v>1680</v>
      </c>
      <c r="E63" s="24">
        <v>18</v>
      </c>
      <c r="F63" s="171">
        <f>F62+(0.183+6.69075+0.3+0.233+0.283)*3+1</f>
        <v>25.969249999999999</v>
      </c>
      <c r="G63" s="69">
        <f>56371*19</f>
        <v>1071049</v>
      </c>
      <c r="H63" s="69">
        <f t="shared" si="10"/>
        <v>1855219</v>
      </c>
    </row>
    <row r="64" spans="1:8" ht="30" customHeight="1" x14ac:dyDescent="0.2">
      <c r="A64" s="158"/>
      <c r="B64" s="158"/>
      <c r="C64" s="27"/>
      <c r="D64" s="158"/>
      <c r="E64" s="24">
        <v>18</v>
      </c>
      <c r="F64" s="158"/>
      <c r="G64" s="69">
        <f>65954*18</f>
        <v>1187172</v>
      </c>
      <c r="H64" s="69">
        <f t="shared" si="10"/>
        <v>3042391</v>
      </c>
    </row>
    <row r="65" spans="1:8" ht="30" customHeight="1" x14ac:dyDescent="0.2">
      <c r="A65" s="158"/>
      <c r="B65" s="158"/>
      <c r="C65" s="27"/>
      <c r="D65" s="158"/>
      <c r="E65" s="24">
        <v>3</v>
      </c>
      <c r="F65" s="158"/>
      <c r="G65" s="69">
        <f t="shared" ref="G65:G66" si="11">47353*3</f>
        <v>142059</v>
      </c>
      <c r="H65" s="70">
        <f t="shared" si="10"/>
        <v>3184450</v>
      </c>
    </row>
    <row r="66" spans="1:8" ht="30" customHeight="1" x14ac:dyDescent="0.2">
      <c r="A66" s="172" t="s">
        <v>929</v>
      </c>
      <c r="B66" s="172" t="s">
        <v>230</v>
      </c>
      <c r="C66" s="27"/>
      <c r="D66" s="172" t="s">
        <v>1681</v>
      </c>
      <c r="E66" s="24">
        <v>3</v>
      </c>
      <c r="F66" s="171">
        <f>(0.283+0.183+6.0825+0.3+0.233+0.416)*3</f>
        <v>22.4925</v>
      </c>
      <c r="G66" s="69">
        <f t="shared" si="11"/>
        <v>142059</v>
      </c>
      <c r="H66" s="69">
        <f>G66</f>
        <v>142059</v>
      </c>
    </row>
    <row r="67" spans="1:8" ht="30" customHeight="1" x14ac:dyDescent="0.2">
      <c r="A67" s="158"/>
      <c r="B67" s="158"/>
      <c r="C67" s="27"/>
      <c r="D67" s="158"/>
      <c r="E67" s="24">
        <v>15</v>
      </c>
      <c r="F67" s="158"/>
      <c r="G67" s="69">
        <f>74240*15</f>
        <v>1113600</v>
      </c>
      <c r="H67" s="69">
        <f t="shared" ref="H67:H73" si="12">G67+H66</f>
        <v>1255659</v>
      </c>
    </row>
    <row r="68" spans="1:8" ht="30" customHeight="1" x14ac:dyDescent="0.2">
      <c r="A68" s="158"/>
      <c r="B68" s="158"/>
      <c r="C68" s="27"/>
      <c r="D68" s="158"/>
      <c r="E68" s="24">
        <v>18</v>
      </c>
      <c r="F68" s="158"/>
      <c r="G68" s="69">
        <f>65954*18</f>
        <v>1187172</v>
      </c>
      <c r="H68" s="69">
        <f t="shared" si="12"/>
        <v>2442831</v>
      </c>
    </row>
    <row r="69" spans="1:8" ht="30" customHeight="1" x14ac:dyDescent="0.2">
      <c r="A69" s="158"/>
      <c r="B69" s="158"/>
      <c r="C69" s="27"/>
      <c r="D69" s="172" t="s">
        <v>1682</v>
      </c>
      <c r="E69" s="24">
        <v>1</v>
      </c>
      <c r="F69" s="171">
        <f>F66+(0.283+0.183+3.04125+0.3+0.233+0.416)</f>
        <v>26.94875</v>
      </c>
      <c r="G69" s="69">
        <f>47353</f>
        <v>47353</v>
      </c>
      <c r="H69" s="69">
        <f t="shared" si="12"/>
        <v>2490184</v>
      </c>
    </row>
    <row r="70" spans="1:8" ht="30" customHeight="1" x14ac:dyDescent="0.2">
      <c r="A70" s="158"/>
      <c r="B70" s="158"/>
      <c r="C70" s="27"/>
      <c r="D70" s="158"/>
      <c r="E70" s="24">
        <v>3</v>
      </c>
      <c r="F70" s="158"/>
      <c r="G70" s="69">
        <f>74240*3</f>
        <v>222720</v>
      </c>
      <c r="H70" s="69">
        <f t="shared" si="12"/>
        <v>2712904</v>
      </c>
    </row>
    <row r="71" spans="1:8" ht="30" customHeight="1" x14ac:dyDescent="0.2">
      <c r="A71" s="158"/>
      <c r="B71" s="158"/>
      <c r="C71" s="27"/>
      <c r="D71" s="158"/>
      <c r="E71" s="24">
        <v>3</v>
      </c>
      <c r="F71" s="158"/>
      <c r="G71" s="69">
        <f>65954*3</f>
        <v>197862</v>
      </c>
      <c r="H71" s="69">
        <f t="shared" si="12"/>
        <v>2910766</v>
      </c>
    </row>
    <row r="72" spans="1:8" ht="30" customHeight="1" x14ac:dyDescent="0.2">
      <c r="A72" s="158"/>
      <c r="B72" s="158"/>
      <c r="C72" s="27"/>
      <c r="D72" s="24" t="s">
        <v>236</v>
      </c>
      <c r="E72" s="24">
        <v>1</v>
      </c>
      <c r="F72" s="68">
        <f>F69+0.233</f>
        <v>27.181750000000001</v>
      </c>
      <c r="G72" s="69">
        <f>47353</f>
        <v>47353</v>
      </c>
      <c r="H72" s="69">
        <f t="shared" si="12"/>
        <v>2958119</v>
      </c>
    </row>
    <row r="73" spans="1:8" ht="30" customHeight="1" x14ac:dyDescent="0.2">
      <c r="A73" s="158"/>
      <c r="B73" s="158"/>
      <c r="C73" s="27"/>
      <c r="D73" s="24" t="s">
        <v>1683</v>
      </c>
      <c r="E73" s="24">
        <v>1</v>
      </c>
      <c r="F73" s="68">
        <f>F72+0.283+0.183</f>
        <v>27.647750000000002</v>
      </c>
      <c r="G73" s="69">
        <f>74240</f>
        <v>74240</v>
      </c>
      <c r="H73" s="70">
        <f t="shared" si="12"/>
        <v>3032359</v>
      </c>
    </row>
    <row r="74" spans="1:8" ht="30" customHeight="1" x14ac:dyDescent="0.2">
      <c r="A74" s="172" t="s">
        <v>631</v>
      </c>
      <c r="B74" s="172" t="s">
        <v>230</v>
      </c>
      <c r="C74" s="27"/>
      <c r="D74" s="24" t="s">
        <v>212</v>
      </c>
      <c r="E74" s="24">
        <v>1</v>
      </c>
      <c r="F74" s="68">
        <v>0</v>
      </c>
      <c r="G74" s="69">
        <v>146905</v>
      </c>
      <c r="H74" s="69">
        <f>G74</f>
        <v>146905</v>
      </c>
    </row>
    <row r="75" spans="1:8" ht="30" customHeight="1" x14ac:dyDescent="0.2">
      <c r="A75" s="158"/>
      <c r="B75" s="158"/>
      <c r="C75" s="27"/>
      <c r="D75" s="24" t="s">
        <v>1684</v>
      </c>
      <c r="E75" s="24">
        <v>18</v>
      </c>
      <c r="F75" s="171">
        <f>F74+(0.898+1.73+0.516)*9+2</f>
        <v>30.295999999999999</v>
      </c>
      <c r="G75" s="69">
        <f>105897/2*18</f>
        <v>953073</v>
      </c>
      <c r="H75" s="69">
        <f t="shared" ref="H75:H77" si="13">G75+H74</f>
        <v>1099978</v>
      </c>
    </row>
    <row r="76" spans="1:8" ht="30" customHeight="1" x14ac:dyDescent="0.2">
      <c r="A76" s="158"/>
      <c r="B76" s="158"/>
      <c r="C76" s="27"/>
      <c r="D76" s="24" t="s">
        <v>1685</v>
      </c>
      <c r="E76" s="24">
        <v>36</v>
      </c>
      <c r="F76" s="158"/>
      <c r="G76" s="69">
        <f>72686/2*36</f>
        <v>1308348</v>
      </c>
      <c r="H76" s="69">
        <f t="shared" si="13"/>
        <v>2408326</v>
      </c>
    </row>
    <row r="77" spans="1:8" ht="30" customHeight="1" x14ac:dyDescent="0.2">
      <c r="A77" s="158"/>
      <c r="B77" s="158"/>
      <c r="C77" s="27"/>
      <c r="D77" s="24" t="s">
        <v>212</v>
      </c>
      <c r="E77" s="24">
        <v>9</v>
      </c>
      <c r="F77" s="158"/>
      <c r="G77" s="69">
        <f>146905*9</f>
        <v>1322145</v>
      </c>
      <c r="H77" s="70">
        <f t="shared" si="13"/>
        <v>3730471</v>
      </c>
    </row>
    <row r="78" spans="1:8" ht="30" customHeight="1" x14ac:dyDescent="0.2">
      <c r="A78" s="172" t="s">
        <v>924</v>
      </c>
      <c r="B78" s="172" t="s">
        <v>344</v>
      </c>
      <c r="C78" s="27"/>
      <c r="D78" s="24" t="s">
        <v>1686</v>
      </c>
      <c r="E78" s="24">
        <v>1</v>
      </c>
      <c r="F78" s="68">
        <v>1.9</v>
      </c>
      <c r="G78" s="69">
        <v>736817</v>
      </c>
      <c r="H78" s="69">
        <f>G78</f>
        <v>736817</v>
      </c>
    </row>
    <row r="79" spans="1:8" ht="30" customHeight="1" x14ac:dyDescent="0.2">
      <c r="A79" s="158"/>
      <c r="B79" s="158"/>
      <c r="C79" s="27"/>
      <c r="D79" s="24" t="s">
        <v>1687</v>
      </c>
      <c r="E79" s="24">
        <v>1</v>
      </c>
      <c r="F79" s="68">
        <f>F78</f>
        <v>1.9</v>
      </c>
      <c r="G79" s="69">
        <v>446306</v>
      </c>
      <c r="H79" s="69">
        <f t="shared" ref="H79:H87" si="14">G79+H78</f>
        <v>1183123</v>
      </c>
    </row>
    <row r="80" spans="1:8" ht="30" customHeight="1" x14ac:dyDescent="0.2">
      <c r="A80" s="158"/>
      <c r="B80" s="158"/>
      <c r="C80" s="27"/>
      <c r="D80" s="172" t="s">
        <v>1688</v>
      </c>
      <c r="E80" s="24">
        <v>6</v>
      </c>
      <c r="F80" s="171">
        <f>F79+0.183+6.0825</f>
        <v>8.1654999999999998</v>
      </c>
      <c r="G80" s="69">
        <f>92336*6</f>
        <v>554016</v>
      </c>
      <c r="H80" s="69">
        <f t="shared" si="14"/>
        <v>1737139</v>
      </c>
    </row>
    <row r="81" spans="1:8" ht="30" customHeight="1" x14ac:dyDescent="0.2">
      <c r="A81" s="158"/>
      <c r="B81" s="158"/>
      <c r="C81" s="27"/>
      <c r="D81" s="158"/>
      <c r="E81" s="24">
        <v>5</v>
      </c>
      <c r="F81" s="158"/>
      <c r="G81" s="69">
        <f>99833*5</f>
        <v>499165</v>
      </c>
      <c r="H81" s="69">
        <f t="shared" si="14"/>
        <v>2236304</v>
      </c>
    </row>
    <row r="82" spans="1:8" ht="30" customHeight="1" x14ac:dyDescent="0.2">
      <c r="A82" s="158"/>
      <c r="B82" s="158"/>
      <c r="C82" s="27"/>
      <c r="D82" s="24" t="s">
        <v>226</v>
      </c>
      <c r="E82" s="24">
        <v>2</v>
      </c>
      <c r="F82" s="171">
        <f>F80+(0.3+0.35+0.316+0.183+6.0825)*2</f>
        <v>22.628499999999999</v>
      </c>
      <c r="G82" s="69">
        <f>152264*2</f>
        <v>304528</v>
      </c>
      <c r="H82" s="69">
        <f t="shared" si="14"/>
        <v>2540832</v>
      </c>
    </row>
    <row r="83" spans="1:8" ht="30" customHeight="1" x14ac:dyDescent="0.2">
      <c r="A83" s="158"/>
      <c r="B83" s="158"/>
      <c r="C83" s="27"/>
      <c r="D83" s="172" t="s">
        <v>1689</v>
      </c>
      <c r="E83" s="24">
        <v>12</v>
      </c>
      <c r="F83" s="158"/>
      <c r="G83" s="69">
        <f>92336*6*2</f>
        <v>1108032</v>
      </c>
      <c r="H83" s="69">
        <f t="shared" si="14"/>
        <v>3648864</v>
      </c>
    </row>
    <row r="84" spans="1:8" ht="30" customHeight="1" x14ac:dyDescent="0.2">
      <c r="A84" s="158"/>
      <c r="B84" s="158"/>
      <c r="C84" s="27"/>
      <c r="D84" s="158"/>
      <c r="E84" s="24">
        <v>10</v>
      </c>
      <c r="F84" s="158"/>
      <c r="G84" s="69">
        <f>99833*5*2</f>
        <v>998330</v>
      </c>
      <c r="H84" s="69">
        <f t="shared" si="14"/>
        <v>4647194</v>
      </c>
    </row>
    <row r="85" spans="1:8" ht="30" customHeight="1" x14ac:dyDescent="0.2">
      <c r="A85" s="158"/>
      <c r="B85" s="158"/>
      <c r="C85" s="27"/>
      <c r="D85" s="24" t="s">
        <v>226</v>
      </c>
      <c r="E85" s="24">
        <v>1</v>
      </c>
      <c r="F85" s="68">
        <f>F82+0.3+0.35</f>
        <v>23.278500000000001</v>
      </c>
      <c r="G85" s="69">
        <v>152264</v>
      </c>
      <c r="H85" s="69">
        <f t="shared" si="14"/>
        <v>4799458</v>
      </c>
    </row>
    <row r="86" spans="1:8" ht="30" customHeight="1" x14ac:dyDescent="0.2">
      <c r="A86" s="158"/>
      <c r="B86" s="158"/>
      <c r="C86" s="27"/>
      <c r="D86" s="172" t="s">
        <v>1690</v>
      </c>
      <c r="E86" s="24">
        <v>3</v>
      </c>
      <c r="F86" s="171">
        <f>F85+0.183+6.0825</f>
        <v>29.544</v>
      </c>
      <c r="G86" s="69">
        <f>92336*3</f>
        <v>277008</v>
      </c>
      <c r="H86" s="69">
        <f t="shared" si="14"/>
        <v>5076466</v>
      </c>
    </row>
    <row r="87" spans="1:8" ht="30" customHeight="1" x14ac:dyDescent="0.2">
      <c r="A87" s="158"/>
      <c r="B87" s="158"/>
      <c r="C87" s="27"/>
      <c r="D87" s="158"/>
      <c r="E87" s="24">
        <v>3</v>
      </c>
      <c r="F87" s="158"/>
      <c r="G87" s="69">
        <f>99833*3</f>
        <v>299499</v>
      </c>
      <c r="H87" s="70">
        <f t="shared" si="14"/>
        <v>5375965</v>
      </c>
    </row>
    <row r="88" spans="1:8" ht="30" customHeight="1" x14ac:dyDescent="0.2">
      <c r="A88" s="172" t="s">
        <v>917</v>
      </c>
      <c r="B88" s="172" t="s">
        <v>224</v>
      </c>
      <c r="C88" s="27"/>
      <c r="D88" s="172" t="s">
        <v>1691</v>
      </c>
      <c r="E88" s="172">
        <v>1</v>
      </c>
      <c r="F88" s="171">
        <v>0.60824999999999996</v>
      </c>
      <c r="G88" s="69">
        <v>117380</v>
      </c>
      <c r="H88" s="69">
        <f>G88</f>
        <v>117380</v>
      </c>
    </row>
    <row r="89" spans="1:8" ht="30" customHeight="1" x14ac:dyDescent="0.2">
      <c r="A89" s="158"/>
      <c r="B89" s="158"/>
      <c r="C89" s="27"/>
      <c r="D89" s="158"/>
      <c r="E89" s="158"/>
      <c r="F89" s="158"/>
      <c r="G89" s="69">
        <v>75797</v>
      </c>
      <c r="H89" s="69">
        <f t="shared" ref="H89:H98" si="15">G89+H88</f>
        <v>193177</v>
      </c>
    </row>
    <row r="90" spans="1:8" ht="30" customHeight="1" x14ac:dyDescent="0.2">
      <c r="A90" s="158"/>
      <c r="B90" s="158"/>
      <c r="C90" s="27"/>
      <c r="D90" s="24" t="s">
        <v>1692</v>
      </c>
      <c r="E90" s="24">
        <v>3</v>
      </c>
      <c r="F90" s="68">
        <f>F88+0.3+0.183+1.166+1.183</f>
        <v>3.4402499999999998</v>
      </c>
      <c r="G90" s="69">
        <f>285309*3</f>
        <v>855927</v>
      </c>
      <c r="H90" s="69">
        <f t="shared" si="15"/>
        <v>1049104</v>
      </c>
    </row>
    <row r="91" spans="1:8" ht="30" customHeight="1" x14ac:dyDescent="0.2">
      <c r="A91" s="158"/>
      <c r="B91" s="158"/>
      <c r="C91" s="27"/>
      <c r="D91" s="24" t="s">
        <v>1693</v>
      </c>
      <c r="E91" s="24">
        <v>1</v>
      </c>
      <c r="F91" s="68">
        <f>F90+1.283</f>
        <v>4.7232500000000002</v>
      </c>
      <c r="G91" s="69">
        <v>526150</v>
      </c>
      <c r="H91" s="69">
        <f t="shared" si="15"/>
        <v>1575254</v>
      </c>
    </row>
    <row r="92" spans="1:8" ht="30" customHeight="1" x14ac:dyDescent="0.2">
      <c r="A92" s="158"/>
      <c r="B92" s="158"/>
      <c r="C92" s="27"/>
      <c r="D92" s="24" t="s">
        <v>1694</v>
      </c>
      <c r="E92" s="24">
        <v>2</v>
      </c>
      <c r="F92" s="68">
        <f>F90+3+1.166</f>
        <v>7.6062499999999993</v>
      </c>
      <c r="G92" s="69">
        <f>285309*2</f>
        <v>570618</v>
      </c>
      <c r="H92" s="69">
        <f t="shared" si="15"/>
        <v>2145872</v>
      </c>
    </row>
    <row r="93" spans="1:8" ht="30" customHeight="1" x14ac:dyDescent="0.2">
      <c r="A93" s="158"/>
      <c r="B93" s="158"/>
      <c r="C93" s="27"/>
      <c r="D93" s="172" t="s">
        <v>1695</v>
      </c>
      <c r="E93" s="24">
        <v>2</v>
      </c>
      <c r="F93" s="171">
        <f>F92+0.333+0.183+2.433</f>
        <v>10.555249999999999</v>
      </c>
      <c r="G93" s="69">
        <f>56371*2</f>
        <v>112742</v>
      </c>
      <c r="H93" s="69">
        <f t="shared" si="15"/>
        <v>2258614</v>
      </c>
    </row>
    <row r="94" spans="1:8" ht="30" customHeight="1" x14ac:dyDescent="0.2">
      <c r="A94" s="158"/>
      <c r="B94" s="158"/>
      <c r="C94" s="27"/>
      <c r="D94" s="158"/>
      <c r="E94" s="24">
        <v>3</v>
      </c>
      <c r="F94" s="158"/>
      <c r="G94" s="69">
        <f>75797*3</f>
        <v>227391</v>
      </c>
      <c r="H94" s="69">
        <f t="shared" si="15"/>
        <v>2486005</v>
      </c>
    </row>
    <row r="95" spans="1:8" ht="30" customHeight="1" x14ac:dyDescent="0.2">
      <c r="A95" s="158"/>
      <c r="B95" s="158"/>
      <c r="C95" s="27"/>
      <c r="D95" s="24" t="s">
        <v>1696</v>
      </c>
      <c r="E95" s="24">
        <v>2</v>
      </c>
      <c r="F95" s="68">
        <f>F93+0.3+0.183+1.183</f>
        <v>12.22125</v>
      </c>
      <c r="G95" s="69">
        <f>285309*2</f>
        <v>570618</v>
      </c>
      <c r="H95" s="69">
        <f t="shared" si="15"/>
        <v>3056623</v>
      </c>
    </row>
    <row r="96" spans="1:8" ht="30" customHeight="1" x14ac:dyDescent="0.2">
      <c r="A96" s="158"/>
      <c r="B96" s="158"/>
      <c r="C96" s="27"/>
      <c r="D96" s="172" t="s">
        <v>1697</v>
      </c>
      <c r="E96" s="24">
        <v>2</v>
      </c>
      <c r="F96" s="171">
        <f>F95+0.333+0.183+2.433</f>
        <v>15.170249999999999</v>
      </c>
      <c r="G96" s="69">
        <f>56371*2</f>
        <v>112742</v>
      </c>
      <c r="H96" s="69">
        <f t="shared" si="15"/>
        <v>3169365</v>
      </c>
    </row>
    <row r="97" spans="1:8" ht="30" customHeight="1" x14ac:dyDescent="0.2">
      <c r="A97" s="158"/>
      <c r="B97" s="158"/>
      <c r="C97" s="27"/>
      <c r="D97" s="158"/>
      <c r="E97" s="24">
        <v>3</v>
      </c>
      <c r="F97" s="158"/>
      <c r="G97" s="69">
        <f>75797*3</f>
        <v>227391</v>
      </c>
      <c r="H97" s="69">
        <f t="shared" si="15"/>
        <v>3396756</v>
      </c>
    </row>
    <row r="98" spans="1:8" ht="30" customHeight="1" x14ac:dyDescent="0.2">
      <c r="A98" s="158"/>
      <c r="B98" s="158"/>
      <c r="C98" s="27"/>
      <c r="D98" s="24" t="s">
        <v>1698</v>
      </c>
      <c r="E98" s="24">
        <v>2</v>
      </c>
      <c r="F98" s="68">
        <f>F96+0.3+0.183+1.183+2</f>
        <v>18.83625</v>
      </c>
      <c r="G98" s="69">
        <f>285309*2</f>
        <v>570618</v>
      </c>
      <c r="H98" s="70">
        <f t="shared" si="15"/>
        <v>3967374</v>
      </c>
    </row>
    <row r="99" spans="1:8" ht="30" customHeight="1" x14ac:dyDescent="0.2">
      <c r="A99" s="172" t="s">
        <v>422</v>
      </c>
      <c r="B99" s="172" t="s">
        <v>346</v>
      </c>
      <c r="C99" s="27"/>
      <c r="D99" s="24" t="s">
        <v>1699</v>
      </c>
      <c r="E99" s="24">
        <v>1</v>
      </c>
      <c r="F99" s="68">
        <v>1.9</v>
      </c>
      <c r="G99" s="69">
        <v>736817</v>
      </c>
      <c r="H99" s="69">
        <f>G99</f>
        <v>736817</v>
      </c>
    </row>
    <row r="100" spans="1:8" ht="30" customHeight="1" x14ac:dyDescent="0.2">
      <c r="A100" s="158"/>
      <c r="B100" s="158"/>
      <c r="C100" s="27"/>
      <c r="D100" s="24" t="s">
        <v>422</v>
      </c>
      <c r="E100" s="24">
        <v>3</v>
      </c>
      <c r="F100" s="68">
        <v>50.015999999999998</v>
      </c>
      <c r="G100" s="69">
        <f>1069265*3</f>
        <v>3207795</v>
      </c>
      <c r="H100" s="70">
        <f>G100+H99</f>
        <v>3944612</v>
      </c>
    </row>
    <row r="101" spans="1:8" ht="30" customHeight="1" x14ac:dyDescent="0.2">
      <c r="A101" s="172" t="s">
        <v>913</v>
      </c>
      <c r="B101" s="172" t="s">
        <v>232</v>
      </c>
      <c r="C101" s="27"/>
      <c r="D101" s="24" t="s">
        <v>1700</v>
      </c>
      <c r="E101" s="24">
        <v>1</v>
      </c>
      <c r="F101" s="68">
        <v>1.9</v>
      </c>
      <c r="G101" s="69">
        <v>736817</v>
      </c>
      <c r="H101" s="69">
        <f>G101</f>
        <v>736817</v>
      </c>
    </row>
    <row r="102" spans="1:8" ht="30" customHeight="1" x14ac:dyDescent="0.2">
      <c r="A102" s="158"/>
      <c r="B102" s="158"/>
      <c r="C102" s="27"/>
      <c r="D102" s="24" t="s">
        <v>1701</v>
      </c>
      <c r="E102" s="24">
        <v>4</v>
      </c>
      <c r="F102" s="171">
        <f>F101+(0.416+0.316+0.216+0.616+0.4+0.283+1.533)*2</f>
        <v>9.4599999999999991</v>
      </c>
      <c r="G102" s="69">
        <f>96270*2</f>
        <v>192540</v>
      </c>
      <c r="H102" s="69">
        <f t="shared" ref="H102:H106" si="16">G102+H101</f>
        <v>929357</v>
      </c>
    </row>
    <row r="103" spans="1:8" ht="30" customHeight="1" x14ac:dyDescent="0.2">
      <c r="A103" s="158"/>
      <c r="B103" s="158"/>
      <c r="C103" s="27"/>
      <c r="D103" s="24" t="s">
        <v>1702</v>
      </c>
      <c r="E103" s="24">
        <v>2</v>
      </c>
      <c r="F103" s="158"/>
      <c r="G103" s="69">
        <f>456919*2</f>
        <v>913838</v>
      </c>
      <c r="H103" s="69">
        <f t="shared" si="16"/>
        <v>1843195</v>
      </c>
    </row>
    <row r="104" spans="1:8" ht="30" customHeight="1" x14ac:dyDescent="0.2">
      <c r="A104" s="158"/>
      <c r="B104" s="158"/>
      <c r="C104" s="27"/>
      <c r="D104" s="24" t="s">
        <v>234</v>
      </c>
      <c r="E104" s="24">
        <v>2</v>
      </c>
      <c r="F104" s="158"/>
      <c r="G104" s="69">
        <f>296724*2</f>
        <v>593448</v>
      </c>
      <c r="H104" s="69">
        <f t="shared" si="16"/>
        <v>2436643</v>
      </c>
    </row>
    <row r="105" spans="1:8" ht="30" customHeight="1" x14ac:dyDescent="0.2">
      <c r="A105" s="158"/>
      <c r="B105" s="158"/>
      <c r="C105" s="27"/>
      <c r="D105" s="24" t="s">
        <v>1703</v>
      </c>
      <c r="E105" s="24">
        <v>2</v>
      </c>
      <c r="F105" s="68">
        <f>F102+0.4+0.166+0.416</f>
        <v>10.442</v>
      </c>
      <c r="G105" s="69">
        <v>96270</v>
      </c>
      <c r="H105" s="69">
        <f t="shared" si="16"/>
        <v>2532913</v>
      </c>
    </row>
    <row r="106" spans="1:8" ht="30" customHeight="1" x14ac:dyDescent="0.2">
      <c r="A106" s="158"/>
      <c r="B106" s="158"/>
      <c r="C106" s="27"/>
      <c r="D106" s="24" t="s">
        <v>1704</v>
      </c>
      <c r="E106" s="24">
        <v>1</v>
      </c>
      <c r="F106" s="68">
        <f>F105+0.316+0.283+1.533</f>
        <v>12.574</v>
      </c>
      <c r="G106" s="69">
        <v>456919</v>
      </c>
      <c r="H106" s="70">
        <f t="shared" si="16"/>
        <v>2989832</v>
      </c>
    </row>
    <row r="107" spans="1:8" ht="30" customHeight="1" x14ac:dyDescent="0.2">
      <c r="A107" s="172" t="s">
        <v>920</v>
      </c>
      <c r="B107" s="172" t="s">
        <v>344</v>
      </c>
      <c r="C107" s="27"/>
      <c r="D107" s="24" t="s">
        <v>1705</v>
      </c>
      <c r="E107" s="24">
        <v>1</v>
      </c>
      <c r="F107" s="68">
        <v>1.9</v>
      </c>
      <c r="G107" s="69">
        <v>736817</v>
      </c>
      <c r="H107" s="69">
        <f>G107</f>
        <v>736817</v>
      </c>
    </row>
    <row r="108" spans="1:8" ht="30" customHeight="1" x14ac:dyDescent="0.2">
      <c r="A108" s="158"/>
      <c r="B108" s="158"/>
      <c r="C108" s="27"/>
      <c r="D108" s="24" t="s">
        <v>234</v>
      </c>
      <c r="E108" s="24">
        <v>1</v>
      </c>
      <c r="F108" s="68">
        <f>F107+0.616</f>
        <v>2.516</v>
      </c>
      <c r="G108" s="69">
        <v>243217</v>
      </c>
      <c r="H108" s="69">
        <f t="shared" ref="H108:H113" si="17">G108+H107</f>
        <v>980034</v>
      </c>
    </row>
    <row r="109" spans="1:8" ht="30" customHeight="1" x14ac:dyDescent="0.2">
      <c r="A109" s="158"/>
      <c r="B109" s="158"/>
      <c r="C109" s="27"/>
      <c r="D109" s="24" t="s">
        <v>1706</v>
      </c>
      <c r="E109" s="24">
        <v>1</v>
      </c>
      <c r="F109" s="68">
        <f>F108+0.4+0.216+1.82</f>
        <v>4.952</v>
      </c>
      <c r="G109" s="69">
        <v>324965</v>
      </c>
      <c r="H109" s="69">
        <f t="shared" si="17"/>
        <v>1304999</v>
      </c>
    </row>
    <row r="110" spans="1:8" ht="30" customHeight="1" x14ac:dyDescent="0.2">
      <c r="A110" s="158"/>
      <c r="B110" s="158"/>
      <c r="C110" s="27"/>
      <c r="D110" s="24" t="s">
        <v>1707</v>
      </c>
      <c r="E110" s="24">
        <v>15</v>
      </c>
      <c r="F110" s="68">
        <f>F109+0.316+0.183+7.116</f>
        <v>12.567</v>
      </c>
      <c r="G110" s="69">
        <v>1542103</v>
      </c>
      <c r="H110" s="69">
        <f t="shared" si="17"/>
        <v>2847102</v>
      </c>
    </row>
    <row r="111" spans="1:8" ht="30" customHeight="1" x14ac:dyDescent="0.2">
      <c r="A111" s="158"/>
      <c r="B111" s="158"/>
      <c r="C111" s="27"/>
      <c r="D111" s="24" t="s">
        <v>234</v>
      </c>
      <c r="E111" s="24">
        <v>1</v>
      </c>
      <c r="F111" s="68">
        <f>F110+0.333+0.216+0.616+0.859</f>
        <v>14.590999999999999</v>
      </c>
      <c r="G111" s="69">
        <v>243217</v>
      </c>
      <c r="H111" s="69">
        <f t="shared" si="17"/>
        <v>3090319</v>
      </c>
    </row>
    <row r="112" spans="1:8" ht="30" customHeight="1" x14ac:dyDescent="0.2">
      <c r="A112" s="158"/>
      <c r="B112" s="158"/>
      <c r="C112" s="27"/>
      <c r="D112" s="24" t="s">
        <v>1708</v>
      </c>
      <c r="E112" s="24">
        <v>1</v>
      </c>
      <c r="F112" s="68">
        <f>F111+0.4+0.216+1.82</f>
        <v>17.026999999999997</v>
      </c>
      <c r="G112" s="69">
        <v>324965</v>
      </c>
      <c r="H112" s="69">
        <f t="shared" si="17"/>
        <v>3415284</v>
      </c>
    </row>
    <row r="113" spans="1:8" ht="30" customHeight="1" x14ac:dyDescent="0.2">
      <c r="A113" s="158"/>
      <c r="B113" s="158"/>
      <c r="C113" s="27"/>
      <c r="D113" s="24" t="s">
        <v>1709</v>
      </c>
      <c r="E113" s="24">
        <v>4</v>
      </c>
      <c r="F113" s="68">
        <f>F112+0.316+0.183+1.525</f>
        <v>19.050999999999995</v>
      </c>
      <c r="G113" s="69">
        <v>411227</v>
      </c>
      <c r="H113" s="70">
        <f t="shared" si="17"/>
        <v>3826511</v>
      </c>
    </row>
    <row r="114" spans="1:8" ht="30" customHeight="1" x14ac:dyDescent="0.2">
      <c r="A114" s="172" t="s">
        <v>611</v>
      </c>
      <c r="B114" s="172" t="s">
        <v>228</v>
      </c>
      <c r="C114" s="27"/>
      <c r="D114" s="24" t="s">
        <v>1710</v>
      </c>
      <c r="E114" s="24">
        <v>1</v>
      </c>
      <c r="F114" s="68">
        <v>1.9</v>
      </c>
      <c r="G114" s="69">
        <v>736817</v>
      </c>
      <c r="H114" s="69">
        <f>G114</f>
        <v>736817</v>
      </c>
    </row>
    <row r="115" spans="1:8" ht="30" customHeight="1" x14ac:dyDescent="0.2">
      <c r="A115" s="158"/>
      <c r="B115" s="158"/>
      <c r="C115" s="27"/>
      <c r="D115" s="24" t="s">
        <v>1711</v>
      </c>
      <c r="E115" s="24">
        <v>10</v>
      </c>
      <c r="F115" s="68">
        <f>F114+(1.166+1.433)*4+1.166</f>
        <v>13.462000000000002</v>
      </c>
      <c r="G115" s="69">
        <f>221341*10</f>
        <v>2213410</v>
      </c>
      <c r="H115" s="69">
        <f t="shared" ref="H115:H116" si="18">G115+H114</f>
        <v>2950227</v>
      </c>
    </row>
    <row r="116" spans="1:8" ht="30" customHeight="1" x14ac:dyDescent="0.2">
      <c r="A116" s="158"/>
      <c r="B116" s="158"/>
      <c r="C116" s="27"/>
      <c r="D116" s="24" t="s">
        <v>1712</v>
      </c>
      <c r="E116" s="24">
        <v>4</v>
      </c>
      <c r="F116" s="68">
        <f>F115+0.333+0.216+0.616+1.85*3</f>
        <v>20.177</v>
      </c>
      <c r="G116" s="69">
        <f>296724*4</f>
        <v>1186896</v>
      </c>
      <c r="H116" s="70">
        <f t="shared" si="18"/>
        <v>4137123</v>
      </c>
    </row>
    <row r="117" spans="1:8" ht="30" customHeight="1" x14ac:dyDescent="0.2">
      <c r="A117" s="172" t="s">
        <v>911</v>
      </c>
      <c r="B117" s="172" t="s">
        <v>228</v>
      </c>
      <c r="C117" s="27"/>
      <c r="D117" s="24" t="s">
        <v>1713</v>
      </c>
      <c r="E117" s="24">
        <v>1</v>
      </c>
      <c r="F117" s="68">
        <v>1.45</v>
      </c>
      <c r="G117" s="69">
        <v>641904</v>
      </c>
      <c r="H117" s="69">
        <f>G117</f>
        <v>641904</v>
      </c>
    </row>
    <row r="118" spans="1:8" ht="30" customHeight="1" x14ac:dyDescent="0.2">
      <c r="A118" s="158"/>
      <c r="B118" s="158"/>
      <c r="C118" s="27"/>
      <c r="D118" s="24" t="s">
        <v>1714</v>
      </c>
      <c r="E118" s="24">
        <v>1</v>
      </c>
      <c r="F118" s="68">
        <f>F117+1.9</f>
        <v>3.3499999999999996</v>
      </c>
      <c r="G118" s="69">
        <v>736817</v>
      </c>
      <c r="H118" s="69">
        <f t="shared" ref="H118:H119" si="19">G118+H117</f>
        <v>1378721</v>
      </c>
    </row>
    <row r="119" spans="1:8" ht="30" customHeight="1" x14ac:dyDescent="0.2">
      <c r="A119" s="158"/>
      <c r="B119" s="158"/>
      <c r="C119" s="27"/>
      <c r="D119" s="24" t="s">
        <v>234</v>
      </c>
      <c r="E119" s="24">
        <v>3</v>
      </c>
      <c r="F119" s="68">
        <f>F118+0.616+1.85*2</f>
        <v>7.6660000000000004</v>
      </c>
      <c r="G119" s="69">
        <f>296724*3</f>
        <v>890172</v>
      </c>
      <c r="H119" s="70">
        <f t="shared" si="19"/>
        <v>2268893</v>
      </c>
    </row>
    <row r="120" spans="1:8" ht="30" customHeight="1" x14ac:dyDescent="0.2">
      <c r="A120" s="172" t="s">
        <v>916</v>
      </c>
      <c r="B120" s="172" t="s">
        <v>224</v>
      </c>
      <c r="C120" s="27"/>
      <c r="D120" s="24" t="s">
        <v>1715</v>
      </c>
      <c r="E120" s="24">
        <v>1</v>
      </c>
      <c r="F120" s="68">
        <v>0</v>
      </c>
      <c r="G120" s="69">
        <v>202567</v>
      </c>
      <c r="H120" s="69">
        <f>G120</f>
        <v>202567</v>
      </c>
    </row>
    <row r="121" spans="1:8" ht="30" customHeight="1" x14ac:dyDescent="0.2">
      <c r="A121" s="158"/>
      <c r="B121" s="158"/>
      <c r="C121" s="27"/>
      <c r="D121" s="24" t="s">
        <v>1716</v>
      </c>
      <c r="E121" s="24">
        <v>1</v>
      </c>
      <c r="F121" s="68">
        <f>F120+1.466+0.2</f>
        <v>1.6659999999999999</v>
      </c>
      <c r="G121" s="69">
        <v>62181</v>
      </c>
      <c r="H121" s="69">
        <f t="shared" ref="H121:H131" si="20">G121+H120</f>
        <v>264748</v>
      </c>
    </row>
    <row r="122" spans="1:8" ht="30" customHeight="1" x14ac:dyDescent="0.2">
      <c r="A122" s="158"/>
      <c r="B122" s="158"/>
      <c r="C122" s="27"/>
      <c r="D122" s="24" t="s">
        <v>1717</v>
      </c>
      <c r="E122" s="24">
        <v>3</v>
      </c>
      <c r="F122" s="68">
        <f>F121+0.333+0.183+1.166+1.183</f>
        <v>4.5309999999999997</v>
      </c>
      <c r="G122" s="69">
        <f>285309*3</f>
        <v>855927</v>
      </c>
      <c r="H122" s="69">
        <f t="shared" si="20"/>
        <v>1120675</v>
      </c>
    </row>
    <row r="123" spans="1:8" ht="30" customHeight="1" x14ac:dyDescent="0.2">
      <c r="A123" s="158"/>
      <c r="B123" s="158"/>
      <c r="C123" s="27"/>
      <c r="D123" s="24" t="s">
        <v>1718</v>
      </c>
      <c r="E123" s="24">
        <v>1</v>
      </c>
      <c r="F123" s="68">
        <f>F122+1.783</f>
        <v>6.3140000000000001</v>
      </c>
      <c r="G123" s="69">
        <v>528302</v>
      </c>
      <c r="H123" s="69">
        <f t="shared" si="20"/>
        <v>1648977</v>
      </c>
    </row>
    <row r="124" spans="1:8" ht="30" customHeight="1" x14ac:dyDescent="0.2">
      <c r="A124" s="158"/>
      <c r="B124" s="158"/>
      <c r="C124" s="27"/>
      <c r="D124" s="24" t="s">
        <v>1719</v>
      </c>
      <c r="E124" s="24">
        <v>2</v>
      </c>
      <c r="F124" s="68">
        <f>F122+3+1.166</f>
        <v>8.6969999999999992</v>
      </c>
      <c r="G124" s="69">
        <f>285309*2</f>
        <v>570618</v>
      </c>
      <c r="H124" s="69">
        <f t="shared" si="20"/>
        <v>2219595</v>
      </c>
    </row>
    <row r="125" spans="1:8" ht="30" customHeight="1" x14ac:dyDescent="0.2">
      <c r="A125" s="158"/>
      <c r="B125" s="158"/>
      <c r="C125" s="27"/>
      <c r="D125" s="24" t="s">
        <v>1720</v>
      </c>
      <c r="E125" s="24">
        <v>1</v>
      </c>
      <c r="F125" s="68">
        <f>F124+0.333+0.216</f>
        <v>9.2459999999999987</v>
      </c>
      <c r="G125" s="69">
        <v>202567</v>
      </c>
      <c r="H125" s="69">
        <f t="shared" si="20"/>
        <v>2422162</v>
      </c>
    </row>
    <row r="126" spans="1:8" ht="30" customHeight="1" x14ac:dyDescent="0.2">
      <c r="A126" s="158"/>
      <c r="B126" s="158"/>
      <c r="C126" s="27"/>
      <c r="D126" s="24" t="s">
        <v>1721</v>
      </c>
      <c r="E126" s="24">
        <v>1</v>
      </c>
      <c r="F126" s="68">
        <f>F125+1.466+0.2</f>
        <v>10.911999999999997</v>
      </c>
      <c r="G126" s="69">
        <v>62181</v>
      </c>
      <c r="H126" s="69">
        <f t="shared" si="20"/>
        <v>2484343</v>
      </c>
    </row>
    <row r="127" spans="1:8" ht="30" customHeight="1" x14ac:dyDescent="0.2">
      <c r="A127" s="158"/>
      <c r="B127" s="158"/>
      <c r="C127" s="27"/>
      <c r="D127" s="24" t="s">
        <v>1722</v>
      </c>
      <c r="E127" s="24">
        <v>2</v>
      </c>
      <c r="F127" s="68">
        <f>F126+0.333+0.183+1.183</f>
        <v>12.610999999999997</v>
      </c>
      <c r="G127" s="69">
        <f>285309*2</f>
        <v>570618</v>
      </c>
      <c r="H127" s="69">
        <f t="shared" si="20"/>
        <v>3054961</v>
      </c>
    </row>
    <row r="128" spans="1:8" ht="30" customHeight="1" x14ac:dyDescent="0.2">
      <c r="A128" s="158"/>
      <c r="B128" s="158"/>
      <c r="C128" s="27"/>
      <c r="D128" s="24" t="s">
        <v>1723</v>
      </c>
      <c r="E128" s="24">
        <v>1</v>
      </c>
      <c r="F128" s="68">
        <f>F127+0.333+0.216</f>
        <v>13.159999999999997</v>
      </c>
      <c r="G128" s="69">
        <v>202567</v>
      </c>
      <c r="H128" s="69">
        <f t="shared" si="20"/>
        <v>3257528</v>
      </c>
    </row>
    <row r="129" spans="1:8" ht="30" customHeight="1" x14ac:dyDescent="0.2">
      <c r="A129" s="158"/>
      <c r="B129" s="158"/>
      <c r="C129" s="27"/>
      <c r="D129" s="24" t="s">
        <v>1724</v>
      </c>
      <c r="E129" s="24">
        <v>1</v>
      </c>
      <c r="F129" s="68">
        <f>F128+1.466+0.2</f>
        <v>14.825999999999995</v>
      </c>
      <c r="G129" s="69">
        <v>62181</v>
      </c>
      <c r="H129" s="69">
        <f t="shared" si="20"/>
        <v>3319709</v>
      </c>
    </row>
    <row r="130" spans="1:8" ht="30" customHeight="1" x14ac:dyDescent="0.2">
      <c r="A130" s="158"/>
      <c r="B130" s="158"/>
      <c r="C130" s="27"/>
      <c r="D130" s="24" t="s">
        <v>1725</v>
      </c>
      <c r="E130" s="24">
        <v>2</v>
      </c>
      <c r="F130" s="68">
        <f>F129+0.333+0.183+1.183+2</f>
        <v>18.524999999999995</v>
      </c>
      <c r="G130" s="69">
        <f>285309*2</f>
        <v>570618</v>
      </c>
      <c r="H130" s="69">
        <f t="shared" si="20"/>
        <v>3890327</v>
      </c>
    </row>
    <row r="131" spans="1:8" ht="30" customHeight="1" x14ac:dyDescent="0.2">
      <c r="A131" s="158"/>
      <c r="B131" s="158"/>
      <c r="C131" s="27"/>
      <c r="D131" s="24" t="s">
        <v>1726</v>
      </c>
      <c r="E131" s="24">
        <v>1</v>
      </c>
      <c r="F131" s="68">
        <f>F130</f>
        <v>18.524999999999995</v>
      </c>
      <c r="G131" s="69">
        <v>202567</v>
      </c>
      <c r="H131" s="70">
        <f t="shared" si="20"/>
        <v>4092894</v>
      </c>
    </row>
    <row r="132" spans="1:8" ht="30" customHeight="1" x14ac:dyDescent="0.2">
      <c r="A132" s="172" t="s">
        <v>921</v>
      </c>
      <c r="B132" s="172" t="s">
        <v>224</v>
      </c>
      <c r="C132" s="27"/>
      <c r="D132" s="24" t="s">
        <v>1727</v>
      </c>
      <c r="E132" s="24">
        <v>1</v>
      </c>
      <c r="F132" s="68">
        <v>0</v>
      </c>
      <c r="G132" s="69">
        <v>202567</v>
      </c>
      <c r="H132" s="69">
        <f>G132</f>
        <v>202567</v>
      </c>
    </row>
    <row r="133" spans="1:8" ht="30" customHeight="1" x14ac:dyDescent="0.2">
      <c r="A133" s="158"/>
      <c r="B133" s="158"/>
      <c r="C133" s="27"/>
      <c r="D133" s="24" t="s">
        <v>1728</v>
      </c>
      <c r="E133" s="24">
        <v>1</v>
      </c>
      <c r="F133" s="68">
        <f>F132+1.466+0.2</f>
        <v>1.6659999999999999</v>
      </c>
      <c r="G133" s="69">
        <v>62181</v>
      </c>
      <c r="H133" s="69">
        <f t="shared" ref="H133:H143" si="21">G133+H132</f>
        <v>264748</v>
      </c>
    </row>
    <row r="134" spans="1:8" ht="30" customHeight="1" x14ac:dyDescent="0.2">
      <c r="A134" s="158"/>
      <c r="B134" s="158"/>
      <c r="C134" s="27"/>
      <c r="D134" s="24" t="s">
        <v>1729</v>
      </c>
      <c r="E134" s="24">
        <v>3</v>
      </c>
      <c r="F134" s="68">
        <f>F133+0.333+0.183+1.166+1.183</f>
        <v>4.5309999999999997</v>
      </c>
      <c r="G134" s="69">
        <f>225341*3</f>
        <v>676023</v>
      </c>
      <c r="H134" s="69">
        <f t="shared" si="21"/>
        <v>940771</v>
      </c>
    </row>
    <row r="135" spans="1:8" ht="30" customHeight="1" x14ac:dyDescent="0.2">
      <c r="A135" s="158"/>
      <c r="B135" s="158"/>
      <c r="C135" s="27"/>
      <c r="D135" s="24" t="s">
        <v>1730</v>
      </c>
      <c r="E135" s="24">
        <v>1</v>
      </c>
      <c r="F135" s="68">
        <f>F134+1.783</f>
        <v>6.3140000000000001</v>
      </c>
      <c r="G135" s="69">
        <v>528302</v>
      </c>
      <c r="H135" s="69">
        <f t="shared" si="21"/>
        <v>1469073</v>
      </c>
    </row>
    <row r="136" spans="1:8" ht="30" customHeight="1" x14ac:dyDescent="0.2">
      <c r="A136" s="158"/>
      <c r="B136" s="158"/>
      <c r="C136" s="27"/>
      <c r="D136" s="24" t="s">
        <v>1731</v>
      </c>
      <c r="E136" s="24">
        <v>2</v>
      </c>
      <c r="F136" s="68">
        <f>F134+3+1.166</f>
        <v>8.6969999999999992</v>
      </c>
      <c r="G136" s="69">
        <f>225341*2</f>
        <v>450682</v>
      </c>
      <c r="H136" s="69">
        <f t="shared" si="21"/>
        <v>1919755</v>
      </c>
    </row>
    <row r="137" spans="1:8" ht="30" customHeight="1" x14ac:dyDescent="0.2">
      <c r="A137" s="158"/>
      <c r="B137" s="158"/>
      <c r="C137" s="27"/>
      <c r="D137" s="24" t="s">
        <v>1732</v>
      </c>
      <c r="E137" s="24">
        <v>1</v>
      </c>
      <c r="F137" s="68">
        <f>F136+0.333+0.216</f>
        <v>9.2459999999999987</v>
      </c>
      <c r="G137" s="69">
        <v>202567</v>
      </c>
      <c r="H137" s="69">
        <f t="shared" si="21"/>
        <v>2122322</v>
      </c>
    </row>
    <row r="138" spans="1:8" ht="30" customHeight="1" x14ac:dyDescent="0.2">
      <c r="A138" s="158"/>
      <c r="B138" s="158"/>
      <c r="C138" s="27"/>
      <c r="D138" s="24" t="s">
        <v>1733</v>
      </c>
      <c r="E138" s="24">
        <v>1</v>
      </c>
      <c r="F138" s="68">
        <f>F137+1.466+0.2</f>
        <v>10.911999999999997</v>
      </c>
      <c r="G138" s="69">
        <v>62181</v>
      </c>
      <c r="H138" s="69">
        <f t="shared" si="21"/>
        <v>2184503</v>
      </c>
    </row>
    <row r="139" spans="1:8" ht="30" customHeight="1" x14ac:dyDescent="0.2">
      <c r="A139" s="158"/>
      <c r="B139" s="158"/>
      <c r="C139" s="27"/>
      <c r="D139" s="24" t="s">
        <v>1734</v>
      </c>
      <c r="E139" s="24">
        <v>2</v>
      </c>
      <c r="F139" s="68">
        <f>F138+0.333+0.183+1.183</f>
        <v>12.610999999999997</v>
      </c>
      <c r="G139" s="69">
        <f>225341*2</f>
        <v>450682</v>
      </c>
      <c r="H139" s="69">
        <f t="shared" si="21"/>
        <v>2635185</v>
      </c>
    </row>
    <row r="140" spans="1:8" ht="30" customHeight="1" x14ac:dyDescent="0.2">
      <c r="A140" s="158"/>
      <c r="B140" s="158"/>
      <c r="C140" s="27"/>
      <c r="D140" s="24" t="s">
        <v>1735</v>
      </c>
      <c r="E140" s="24">
        <v>1</v>
      </c>
      <c r="F140" s="68">
        <f>F139+0.333+0.216</f>
        <v>13.159999999999997</v>
      </c>
      <c r="G140" s="69">
        <v>202567</v>
      </c>
      <c r="H140" s="69">
        <f t="shared" si="21"/>
        <v>2837752</v>
      </c>
    </row>
    <row r="141" spans="1:8" ht="30" customHeight="1" x14ac:dyDescent="0.2">
      <c r="A141" s="158"/>
      <c r="B141" s="158"/>
      <c r="C141" s="27"/>
      <c r="D141" s="24" t="s">
        <v>1736</v>
      </c>
      <c r="E141" s="24">
        <v>1</v>
      </c>
      <c r="F141" s="68">
        <f>F140+1.466+0.2</f>
        <v>14.825999999999995</v>
      </c>
      <c r="G141" s="69">
        <v>62181</v>
      </c>
      <c r="H141" s="69">
        <f t="shared" si="21"/>
        <v>2899933</v>
      </c>
    </row>
    <row r="142" spans="1:8" ht="30" customHeight="1" x14ac:dyDescent="0.2">
      <c r="A142" s="158"/>
      <c r="B142" s="158"/>
      <c r="C142" s="27"/>
      <c r="D142" s="24" t="s">
        <v>1737</v>
      </c>
      <c r="E142" s="24">
        <v>2</v>
      </c>
      <c r="F142" s="68">
        <f>F141+0.333+0.183+1.183+2</f>
        <v>18.524999999999995</v>
      </c>
      <c r="G142" s="69">
        <f>225341*2</f>
        <v>450682</v>
      </c>
      <c r="H142" s="71">
        <f t="shared" si="21"/>
        <v>3350615</v>
      </c>
    </row>
    <row r="143" spans="1:8" ht="30" customHeight="1" x14ac:dyDescent="0.2">
      <c r="A143" s="158"/>
      <c r="B143" s="158"/>
      <c r="C143" s="27"/>
      <c r="D143" s="24" t="s">
        <v>1738</v>
      </c>
      <c r="E143" s="24">
        <v>1</v>
      </c>
      <c r="F143" s="68">
        <f>F142</f>
        <v>18.524999999999995</v>
      </c>
      <c r="G143" s="69">
        <v>202567</v>
      </c>
      <c r="H143" s="72">
        <f t="shared" si="21"/>
        <v>3553182</v>
      </c>
    </row>
    <row r="144" spans="1:8" ht="30" customHeight="1" x14ac:dyDescent="0.2">
      <c r="A144" s="172" t="s">
        <v>914</v>
      </c>
      <c r="B144" s="172" t="s">
        <v>344</v>
      </c>
      <c r="C144" s="27"/>
      <c r="D144" s="24" t="s">
        <v>1739</v>
      </c>
      <c r="E144" s="24">
        <v>1</v>
      </c>
      <c r="F144" s="68">
        <v>1.9</v>
      </c>
      <c r="G144" s="69">
        <v>736817</v>
      </c>
      <c r="H144" s="69">
        <f>G144</f>
        <v>736817</v>
      </c>
    </row>
    <row r="145" spans="1:8" ht="30" customHeight="1" x14ac:dyDescent="0.2">
      <c r="A145" s="158"/>
      <c r="B145" s="158"/>
      <c r="C145" s="27"/>
      <c r="D145" s="24" t="s">
        <v>1740</v>
      </c>
      <c r="E145" s="24">
        <v>1</v>
      </c>
      <c r="F145" s="68">
        <v>1.9</v>
      </c>
      <c r="G145" s="69">
        <v>202567</v>
      </c>
      <c r="H145" s="69">
        <f t="shared" ref="H145:H157" si="22">G145+H144</f>
        <v>939384</v>
      </c>
    </row>
    <row r="146" spans="1:8" ht="30" customHeight="1" x14ac:dyDescent="0.2">
      <c r="A146" s="158"/>
      <c r="B146" s="158"/>
      <c r="C146" s="27"/>
      <c r="D146" s="24" t="s">
        <v>1741</v>
      </c>
      <c r="E146" s="24">
        <v>2</v>
      </c>
      <c r="F146" s="68">
        <f>F145+1.466+0.166+0.416</f>
        <v>3.9479999999999995</v>
      </c>
      <c r="G146" s="69">
        <v>75792</v>
      </c>
      <c r="H146" s="69">
        <f t="shared" si="22"/>
        <v>1015176</v>
      </c>
    </row>
    <row r="147" spans="1:8" ht="30" customHeight="1" x14ac:dyDescent="0.2">
      <c r="A147" s="158"/>
      <c r="B147" s="158"/>
      <c r="C147" s="27"/>
      <c r="D147" s="24" t="s">
        <v>1742</v>
      </c>
      <c r="E147" s="24">
        <v>4</v>
      </c>
      <c r="F147" s="68">
        <f>F146+0.316+0.183+1.166+2.383</f>
        <v>7.9959999999999996</v>
      </c>
      <c r="G147" s="69">
        <f>285309*4</f>
        <v>1141236</v>
      </c>
      <c r="H147" s="69">
        <f t="shared" si="22"/>
        <v>2156412</v>
      </c>
    </row>
    <row r="148" spans="1:8" ht="30" customHeight="1" x14ac:dyDescent="0.2">
      <c r="A148" s="158"/>
      <c r="B148" s="158"/>
      <c r="C148" s="27"/>
      <c r="D148" s="24" t="s">
        <v>1743</v>
      </c>
      <c r="E148" s="24">
        <v>1</v>
      </c>
      <c r="F148" s="68">
        <f>F147+0.333+0.216</f>
        <v>8.5449999999999982</v>
      </c>
      <c r="G148" s="69">
        <v>202567</v>
      </c>
      <c r="H148" s="69">
        <f t="shared" si="22"/>
        <v>2358979</v>
      </c>
    </row>
    <row r="149" spans="1:8" ht="30" customHeight="1" x14ac:dyDescent="0.2">
      <c r="A149" s="158"/>
      <c r="B149" s="158"/>
      <c r="C149" s="27"/>
      <c r="D149" s="24" t="s">
        <v>1744</v>
      </c>
      <c r="E149" s="24">
        <v>2</v>
      </c>
      <c r="F149" s="68">
        <f>F148+1.466+0.166+0.416</f>
        <v>10.592999999999998</v>
      </c>
      <c r="G149" s="69">
        <v>75792</v>
      </c>
      <c r="H149" s="69">
        <f t="shared" si="22"/>
        <v>2434771</v>
      </c>
    </row>
    <row r="150" spans="1:8" ht="30" customHeight="1" x14ac:dyDescent="0.2">
      <c r="A150" s="158"/>
      <c r="B150" s="158"/>
      <c r="C150" s="27"/>
      <c r="D150" s="24" t="s">
        <v>1745</v>
      </c>
      <c r="E150" s="24">
        <v>1</v>
      </c>
      <c r="F150" s="68">
        <f>F149+0.316+0.183</f>
        <v>11.091999999999999</v>
      </c>
      <c r="G150" s="69">
        <f>285309</f>
        <v>285309</v>
      </c>
      <c r="H150" s="69">
        <f t="shared" si="22"/>
        <v>2720080</v>
      </c>
    </row>
    <row r="151" spans="1:8" ht="30" customHeight="1" x14ac:dyDescent="0.2">
      <c r="A151" s="158"/>
      <c r="B151" s="158"/>
      <c r="C151" s="27"/>
      <c r="D151" s="24" t="s">
        <v>1746</v>
      </c>
      <c r="E151" s="24">
        <v>1</v>
      </c>
      <c r="F151" s="68">
        <f>F150+0.416+0.216</f>
        <v>11.723999999999998</v>
      </c>
      <c r="G151" s="69">
        <v>202567</v>
      </c>
      <c r="H151" s="69">
        <f t="shared" si="22"/>
        <v>2922647</v>
      </c>
    </row>
    <row r="152" spans="1:8" ht="30" customHeight="1" x14ac:dyDescent="0.2">
      <c r="A152" s="158"/>
      <c r="B152" s="158"/>
      <c r="C152" s="27"/>
      <c r="D152" s="24" t="s">
        <v>1747</v>
      </c>
      <c r="E152" s="24">
        <v>2</v>
      </c>
      <c r="F152" s="68">
        <f>F151+1.466+0.166+0.416</f>
        <v>13.771999999999998</v>
      </c>
      <c r="G152" s="69">
        <v>75792</v>
      </c>
      <c r="H152" s="69">
        <f t="shared" si="22"/>
        <v>2998439</v>
      </c>
    </row>
    <row r="153" spans="1:8" ht="30" customHeight="1" x14ac:dyDescent="0.2">
      <c r="A153" s="158"/>
      <c r="B153" s="158"/>
      <c r="C153" s="27"/>
      <c r="D153" s="24" t="s">
        <v>1748</v>
      </c>
      <c r="E153" s="24">
        <v>3</v>
      </c>
      <c r="F153" s="68">
        <f>F152+0.316+0.183+2.383</f>
        <v>16.654</v>
      </c>
      <c r="G153" s="69">
        <f>285309*3</f>
        <v>855927</v>
      </c>
      <c r="H153" s="69">
        <f t="shared" si="22"/>
        <v>3854366</v>
      </c>
    </row>
    <row r="154" spans="1:8" ht="30" customHeight="1" x14ac:dyDescent="0.2">
      <c r="A154" s="158"/>
      <c r="B154" s="158"/>
      <c r="C154" s="27"/>
      <c r="D154" s="24" t="s">
        <v>1749</v>
      </c>
      <c r="E154" s="24">
        <v>1</v>
      </c>
      <c r="F154" s="68">
        <f>F153+0.333+0.216</f>
        <v>17.202999999999999</v>
      </c>
      <c r="G154" s="69">
        <v>202567</v>
      </c>
      <c r="H154" s="69">
        <f t="shared" si="22"/>
        <v>4056933</v>
      </c>
    </row>
    <row r="155" spans="1:8" ht="30" customHeight="1" x14ac:dyDescent="0.2">
      <c r="A155" s="158"/>
      <c r="B155" s="158"/>
      <c r="C155" s="27"/>
      <c r="D155" s="24" t="s">
        <v>1750</v>
      </c>
      <c r="E155" s="24">
        <v>2</v>
      </c>
      <c r="F155" s="68">
        <f>F154+1.466+0.166+0.416</f>
        <v>19.251000000000001</v>
      </c>
      <c r="G155" s="69">
        <v>75792</v>
      </c>
      <c r="H155" s="69">
        <f t="shared" si="22"/>
        <v>4132725</v>
      </c>
    </row>
    <row r="156" spans="1:8" ht="30" customHeight="1" x14ac:dyDescent="0.2">
      <c r="A156" s="158"/>
      <c r="B156" s="158"/>
      <c r="C156" s="27"/>
      <c r="D156" s="24" t="s">
        <v>1745</v>
      </c>
      <c r="E156" s="24">
        <v>1</v>
      </c>
      <c r="F156" s="68">
        <f>F155+0.316+0.183</f>
        <v>19.75</v>
      </c>
      <c r="G156" s="69">
        <f>285309</f>
        <v>285309</v>
      </c>
      <c r="H156" s="69">
        <f t="shared" si="22"/>
        <v>4418034</v>
      </c>
    </row>
    <row r="157" spans="1:8" ht="30" customHeight="1" x14ac:dyDescent="0.2">
      <c r="A157" s="158"/>
      <c r="B157" s="158"/>
      <c r="C157" s="27"/>
      <c r="D157" s="24" t="s">
        <v>1751</v>
      </c>
      <c r="E157" s="24">
        <v>1</v>
      </c>
      <c r="F157" s="68">
        <f>F156+0.333+0.216</f>
        <v>20.298999999999999</v>
      </c>
      <c r="G157" s="69">
        <v>202567</v>
      </c>
      <c r="H157" s="70">
        <f t="shared" si="22"/>
        <v>4620601</v>
      </c>
    </row>
    <row r="158" spans="1:8" ht="30" customHeight="1" x14ac:dyDescent="0.2">
      <c r="A158" s="172" t="s">
        <v>446</v>
      </c>
      <c r="B158" s="172" t="s">
        <v>232</v>
      </c>
      <c r="C158" s="27"/>
      <c r="D158" s="24" t="s">
        <v>1752</v>
      </c>
      <c r="E158" s="24">
        <v>1</v>
      </c>
      <c r="F158" s="68">
        <v>1.9</v>
      </c>
      <c r="G158" s="69">
        <v>736817</v>
      </c>
      <c r="H158" s="69">
        <f>G158</f>
        <v>736817</v>
      </c>
    </row>
    <row r="159" spans="1:8" ht="30" customHeight="1" x14ac:dyDescent="0.2">
      <c r="A159" s="158"/>
      <c r="B159" s="158"/>
      <c r="C159" s="27"/>
      <c r="D159" s="24" t="s">
        <v>389</v>
      </c>
      <c r="E159" s="24">
        <v>6</v>
      </c>
      <c r="F159" s="171">
        <f>F158+23.598</f>
        <v>25.497999999999998</v>
      </c>
      <c r="G159" s="69">
        <f>4615*6</f>
        <v>27690</v>
      </c>
      <c r="H159" s="69">
        <f t="shared" ref="H159:H162" si="23">G159+H158</f>
        <v>764507</v>
      </c>
    </row>
    <row r="160" spans="1:8" ht="30" customHeight="1" x14ac:dyDescent="0.2">
      <c r="A160" s="158"/>
      <c r="B160" s="158"/>
      <c r="C160" s="27"/>
      <c r="D160" s="24" t="s">
        <v>1753</v>
      </c>
      <c r="E160" s="24">
        <v>18</v>
      </c>
      <c r="F160" s="158"/>
      <c r="G160" s="69">
        <f>186974*18</f>
        <v>3365532</v>
      </c>
      <c r="H160" s="69">
        <f t="shared" si="23"/>
        <v>4130039</v>
      </c>
    </row>
    <row r="161" spans="1:8" ht="30" customHeight="1" x14ac:dyDescent="0.2">
      <c r="A161" s="158"/>
      <c r="B161" s="158"/>
      <c r="C161" s="27"/>
      <c r="D161" s="24" t="s">
        <v>389</v>
      </c>
      <c r="E161" s="24">
        <v>1</v>
      </c>
      <c r="F161" s="68">
        <f>F159+0.2</f>
        <v>25.697999999999997</v>
      </c>
      <c r="G161" s="69">
        <f>4615</f>
        <v>4615</v>
      </c>
      <c r="H161" s="69">
        <f t="shared" si="23"/>
        <v>4134654</v>
      </c>
    </row>
    <row r="162" spans="1:8" ht="30" customHeight="1" x14ac:dyDescent="0.2">
      <c r="A162" s="158"/>
      <c r="B162" s="158"/>
      <c r="C162" s="27"/>
      <c r="D162" s="24" t="s">
        <v>1754</v>
      </c>
      <c r="E162" s="24">
        <v>1</v>
      </c>
      <c r="F162" s="68">
        <f>F161+1.183</f>
        <v>26.880999999999997</v>
      </c>
      <c r="G162" s="69">
        <f>186974</f>
        <v>186974</v>
      </c>
      <c r="H162" s="70">
        <f t="shared" si="23"/>
        <v>4321628</v>
      </c>
    </row>
    <row r="163" spans="1:8" ht="30" customHeight="1" x14ac:dyDescent="0.2">
      <c r="A163" s="172" t="s">
        <v>367</v>
      </c>
      <c r="B163" s="172" t="s">
        <v>232</v>
      </c>
      <c r="C163" s="27"/>
      <c r="D163" s="24" t="s">
        <v>1755</v>
      </c>
      <c r="E163" s="24">
        <v>1</v>
      </c>
      <c r="F163" s="68">
        <v>1.9</v>
      </c>
      <c r="G163" s="69">
        <v>736817</v>
      </c>
      <c r="H163" s="69">
        <f>G163</f>
        <v>736817</v>
      </c>
    </row>
    <row r="164" spans="1:8" ht="30" customHeight="1" x14ac:dyDescent="0.2">
      <c r="A164" s="158"/>
      <c r="B164" s="158"/>
      <c r="C164" s="27"/>
      <c r="D164" s="24" t="s">
        <v>1756</v>
      </c>
      <c r="E164" s="24">
        <v>15</v>
      </c>
      <c r="F164" s="68">
        <f>F163+20.65</f>
        <v>22.549999999999997</v>
      </c>
      <c r="G164" s="69">
        <f>178664*15</f>
        <v>2679960</v>
      </c>
      <c r="H164" s="70">
        <f>G164+H163</f>
        <v>3416777</v>
      </c>
    </row>
    <row r="165" spans="1:8" ht="30" customHeight="1" x14ac:dyDescent="0.2">
      <c r="A165" s="172" t="s">
        <v>925</v>
      </c>
      <c r="B165" s="172" t="s">
        <v>317</v>
      </c>
      <c r="C165" s="27"/>
      <c r="D165" s="24" t="s">
        <v>1757</v>
      </c>
      <c r="E165" s="24">
        <v>1</v>
      </c>
      <c r="F165" s="68">
        <v>1.9</v>
      </c>
      <c r="G165" s="69">
        <v>736817</v>
      </c>
      <c r="H165" s="69">
        <f>G165</f>
        <v>736817</v>
      </c>
    </row>
    <row r="166" spans="1:8" ht="30" customHeight="1" x14ac:dyDescent="0.2">
      <c r="A166" s="158"/>
      <c r="B166" s="158"/>
      <c r="C166" s="27"/>
      <c r="D166" s="24" t="s">
        <v>1758</v>
      </c>
      <c r="E166" s="24">
        <v>1</v>
      </c>
      <c r="F166" s="68">
        <f>F165+5.566</f>
        <v>7.4659999999999993</v>
      </c>
      <c r="G166" s="69">
        <v>817507</v>
      </c>
      <c r="H166" s="69">
        <f t="shared" ref="H166:H178" si="24">G166+H165</f>
        <v>1554324</v>
      </c>
    </row>
    <row r="167" spans="1:8" ht="30" customHeight="1" x14ac:dyDescent="0.2">
      <c r="A167" s="158"/>
      <c r="B167" s="158"/>
      <c r="C167" s="27"/>
      <c r="D167" s="24" t="s">
        <v>266</v>
      </c>
      <c r="E167" s="24">
        <v>1</v>
      </c>
      <c r="F167" s="68">
        <f>F166+0.45+0.216</f>
        <v>8.1319999999999997</v>
      </c>
      <c r="G167" s="52">
        <v>38956</v>
      </c>
      <c r="H167" s="69">
        <f t="shared" si="24"/>
        <v>1593280</v>
      </c>
    </row>
    <row r="168" spans="1:8" ht="30" customHeight="1" x14ac:dyDescent="0.2">
      <c r="A168" s="158"/>
      <c r="B168" s="158"/>
      <c r="C168" s="27"/>
      <c r="D168" s="24" t="s">
        <v>1759</v>
      </c>
      <c r="E168" s="24">
        <v>3</v>
      </c>
      <c r="F168" s="68">
        <f>F167+0.316+0.183+1.166+1.433</f>
        <v>11.23</v>
      </c>
      <c r="G168" s="69">
        <f>273616*3</f>
        <v>820848</v>
      </c>
      <c r="H168" s="69">
        <f t="shared" si="24"/>
        <v>2414128</v>
      </c>
    </row>
    <row r="169" spans="1:8" ht="30" customHeight="1" x14ac:dyDescent="0.2">
      <c r="A169" s="158"/>
      <c r="B169" s="158"/>
      <c r="C169" s="27"/>
      <c r="D169" s="24" t="s">
        <v>1760</v>
      </c>
      <c r="E169" s="24">
        <v>7</v>
      </c>
      <c r="F169" s="68">
        <f>F168+0.333+0.216+1.56</f>
        <v>13.339</v>
      </c>
      <c r="G169" s="52">
        <f>38956*7</f>
        <v>272692</v>
      </c>
      <c r="H169" s="69">
        <f t="shared" si="24"/>
        <v>2686820</v>
      </c>
    </row>
    <row r="170" spans="1:8" ht="30" customHeight="1" x14ac:dyDescent="0.2">
      <c r="A170" s="158"/>
      <c r="B170" s="158"/>
      <c r="C170" s="27"/>
      <c r="D170" s="24" t="s">
        <v>1745</v>
      </c>
      <c r="E170" s="24">
        <v>1</v>
      </c>
      <c r="F170" s="68">
        <f>F169+0.216+0.183</f>
        <v>13.738</v>
      </c>
      <c r="G170" s="69">
        <v>273616</v>
      </c>
      <c r="H170" s="69">
        <f t="shared" si="24"/>
        <v>2960436</v>
      </c>
    </row>
    <row r="171" spans="1:8" ht="30" customHeight="1" x14ac:dyDescent="0.2">
      <c r="A171" s="158"/>
      <c r="B171" s="158"/>
      <c r="C171" s="27"/>
      <c r="D171" s="24" t="s">
        <v>1761</v>
      </c>
      <c r="E171" s="24">
        <v>1</v>
      </c>
      <c r="F171" s="68">
        <f>F170+0.333+5.566</f>
        <v>19.637</v>
      </c>
      <c r="G171" s="69">
        <v>817507</v>
      </c>
      <c r="H171" s="69">
        <f t="shared" si="24"/>
        <v>3777943</v>
      </c>
    </row>
    <row r="172" spans="1:8" ht="30" customHeight="1" x14ac:dyDescent="0.2">
      <c r="A172" s="158"/>
      <c r="B172" s="158"/>
      <c r="C172" s="27"/>
      <c r="D172" s="24" t="s">
        <v>266</v>
      </c>
      <c r="E172" s="24">
        <v>1</v>
      </c>
      <c r="F172" s="68">
        <f>F171+0.45+0.216</f>
        <v>20.303000000000001</v>
      </c>
      <c r="G172" s="52">
        <v>38956</v>
      </c>
      <c r="H172" s="69">
        <f t="shared" si="24"/>
        <v>3816899</v>
      </c>
    </row>
    <row r="173" spans="1:8" ht="30" customHeight="1" x14ac:dyDescent="0.2">
      <c r="A173" s="158"/>
      <c r="B173" s="158"/>
      <c r="C173" s="27"/>
      <c r="D173" s="24" t="s">
        <v>1759</v>
      </c>
      <c r="E173" s="24">
        <v>3</v>
      </c>
      <c r="F173" s="68">
        <f>F172+0.316+0.183+1.166+1.433</f>
        <v>23.401</v>
      </c>
      <c r="G173" s="69">
        <f>273616*3</f>
        <v>820848</v>
      </c>
      <c r="H173" s="69">
        <f t="shared" si="24"/>
        <v>4637747</v>
      </c>
    </row>
    <row r="174" spans="1:8" ht="30" customHeight="1" x14ac:dyDescent="0.2">
      <c r="A174" s="158"/>
      <c r="B174" s="158"/>
      <c r="C174" s="27"/>
      <c r="D174" s="24" t="s">
        <v>1762</v>
      </c>
      <c r="E174" s="24">
        <v>6</v>
      </c>
      <c r="F174" s="68">
        <f>F173+0.333+0.216+1.3</f>
        <v>25.25</v>
      </c>
      <c r="G174" s="52">
        <f>38956*6</f>
        <v>233736</v>
      </c>
      <c r="H174" s="69">
        <f t="shared" si="24"/>
        <v>4871483</v>
      </c>
    </row>
    <row r="175" spans="1:8" ht="30" customHeight="1" x14ac:dyDescent="0.2">
      <c r="A175" s="158"/>
      <c r="B175" s="158"/>
      <c r="C175" s="27"/>
      <c r="D175" s="24" t="s">
        <v>1745</v>
      </c>
      <c r="E175" s="24">
        <v>1</v>
      </c>
      <c r="F175" s="68">
        <f>F174+0.216+0.183</f>
        <v>25.649000000000001</v>
      </c>
      <c r="G175" s="69">
        <v>273616</v>
      </c>
      <c r="H175" s="69">
        <f t="shared" si="24"/>
        <v>5145099</v>
      </c>
    </row>
    <row r="176" spans="1:8" ht="30" customHeight="1" x14ac:dyDescent="0.2">
      <c r="A176" s="158"/>
      <c r="B176" s="158"/>
      <c r="C176" s="27"/>
      <c r="D176" s="24" t="s">
        <v>1763</v>
      </c>
      <c r="E176" s="24">
        <v>1</v>
      </c>
      <c r="F176" s="68">
        <f>F175+0.333+5.566</f>
        <v>31.547999999999998</v>
      </c>
      <c r="G176" s="69">
        <v>817507</v>
      </c>
      <c r="H176" s="69">
        <f t="shared" si="24"/>
        <v>5962606</v>
      </c>
    </row>
    <row r="177" spans="1:8" ht="30" customHeight="1" x14ac:dyDescent="0.2">
      <c r="A177" s="158"/>
      <c r="B177" s="158"/>
      <c r="C177" s="27"/>
      <c r="D177" s="24" t="s">
        <v>266</v>
      </c>
      <c r="E177" s="24">
        <v>1</v>
      </c>
      <c r="F177" s="68">
        <f>F176+0.45+0.216</f>
        <v>32.213999999999999</v>
      </c>
      <c r="G177" s="52">
        <v>38956</v>
      </c>
      <c r="H177" s="69">
        <f t="shared" si="24"/>
        <v>6001562</v>
      </c>
    </row>
    <row r="178" spans="1:8" ht="30" customHeight="1" x14ac:dyDescent="0.2">
      <c r="A178" s="158"/>
      <c r="B178" s="158"/>
      <c r="C178" s="27"/>
      <c r="D178" s="24" t="s">
        <v>1745</v>
      </c>
      <c r="E178" s="24">
        <v>1</v>
      </c>
      <c r="F178" s="68">
        <f>F177+0.216+0.183+2</f>
        <v>34.613</v>
      </c>
      <c r="G178" s="69">
        <v>273616</v>
      </c>
      <c r="H178" s="70">
        <f t="shared" si="24"/>
        <v>6275178</v>
      </c>
    </row>
    <row r="179" spans="1:8" ht="30" customHeight="1" x14ac:dyDescent="0.2">
      <c r="A179" s="172" t="s">
        <v>922</v>
      </c>
      <c r="B179" s="172" t="s">
        <v>317</v>
      </c>
      <c r="C179" s="27"/>
      <c r="D179" s="24" t="s">
        <v>266</v>
      </c>
      <c r="E179" s="24">
        <v>1</v>
      </c>
      <c r="F179" s="68">
        <v>0</v>
      </c>
      <c r="G179" s="69">
        <v>38956</v>
      </c>
      <c r="H179" s="69">
        <f>G179</f>
        <v>38956</v>
      </c>
    </row>
    <row r="180" spans="1:8" ht="30" customHeight="1" x14ac:dyDescent="0.2">
      <c r="A180" s="158"/>
      <c r="B180" s="158"/>
      <c r="C180" s="27"/>
      <c r="D180" s="24" t="s">
        <v>1764</v>
      </c>
      <c r="E180" s="24">
        <v>1</v>
      </c>
      <c r="F180" s="68">
        <f>F179+0.316+0.083+4.883</f>
        <v>5.282</v>
      </c>
      <c r="G180" s="69">
        <v>817507</v>
      </c>
      <c r="H180" s="69">
        <f t="shared" ref="H180:H187" si="25">G180+H179</f>
        <v>856463</v>
      </c>
    </row>
    <row r="181" spans="1:8" ht="30" customHeight="1" x14ac:dyDescent="0.2">
      <c r="A181" s="158"/>
      <c r="B181" s="158"/>
      <c r="C181" s="27"/>
      <c r="D181" s="24" t="s">
        <v>1759</v>
      </c>
      <c r="E181" s="24">
        <v>3</v>
      </c>
      <c r="F181" s="68">
        <f>F180+0.45+0.183+1.166+1.433</f>
        <v>8.5139999999999993</v>
      </c>
      <c r="G181" s="69">
        <f>273616*3</f>
        <v>820848</v>
      </c>
      <c r="H181" s="69">
        <f t="shared" si="25"/>
        <v>1677311</v>
      </c>
    </row>
    <row r="182" spans="1:8" ht="30" customHeight="1" x14ac:dyDescent="0.2">
      <c r="A182" s="158"/>
      <c r="B182" s="158"/>
      <c r="C182" s="27"/>
      <c r="D182" s="24" t="s">
        <v>1765</v>
      </c>
      <c r="E182" s="24">
        <v>8</v>
      </c>
      <c r="F182" s="68">
        <f>F181+0.333+0.216+1.82</f>
        <v>10.882999999999999</v>
      </c>
      <c r="G182" s="69">
        <f>38956*8</f>
        <v>311648</v>
      </c>
      <c r="H182" s="69">
        <f t="shared" si="25"/>
        <v>1988959</v>
      </c>
    </row>
    <row r="183" spans="1:8" ht="30" customHeight="1" x14ac:dyDescent="0.2">
      <c r="A183" s="158"/>
      <c r="B183" s="158"/>
      <c r="C183" s="27"/>
      <c r="D183" s="24" t="s">
        <v>1766</v>
      </c>
      <c r="E183" s="24">
        <v>1</v>
      </c>
      <c r="F183" s="68">
        <f>F182+0.316+0.083+0.333</f>
        <v>11.615</v>
      </c>
      <c r="G183" s="69">
        <f>9138*1.1*1.35*1.3</f>
        <v>17640.909000000003</v>
      </c>
      <c r="H183" s="69">
        <f t="shared" si="25"/>
        <v>2006599.909</v>
      </c>
    </row>
    <row r="184" spans="1:8" ht="30" customHeight="1" x14ac:dyDescent="0.2">
      <c r="A184" s="158"/>
      <c r="B184" s="158"/>
      <c r="C184" s="27"/>
      <c r="D184" s="24" t="s">
        <v>1759</v>
      </c>
      <c r="E184" s="24">
        <v>3</v>
      </c>
      <c r="F184" s="68">
        <f>F183+0.45+0.183+1.166+1.166</f>
        <v>14.58</v>
      </c>
      <c r="G184" s="69">
        <f>273616*3</f>
        <v>820848</v>
      </c>
      <c r="H184" s="69">
        <f t="shared" si="25"/>
        <v>2827447.909</v>
      </c>
    </row>
    <row r="185" spans="1:8" ht="30" customHeight="1" x14ac:dyDescent="0.2">
      <c r="A185" s="158"/>
      <c r="B185" s="158"/>
      <c r="C185" s="27"/>
      <c r="D185" s="24" t="s">
        <v>1767</v>
      </c>
      <c r="E185" s="24">
        <v>8</v>
      </c>
      <c r="F185" s="68">
        <f>F184+0.333+0.216+1.82</f>
        <v>16.948999999999998</v>
      </c>
      <c r="G185" s="69">
        <f>38956*8</f>
        <v>311648</v>
      </c>
      <c r="H185" s="69">
        <f t="shared" si="25"/>
        <v>3139095.909</v>
      </c>
    </row>
    <row r="186" spans="1:8" ht="30" customHeight="1" x14ac:dyDescent="0.2">
      <c r="A186" s="158"/>
      <c r="B186" s="158"/>
      <c r="C186" s="27"/>
      <c r="D186" s="24" t="s">
        <v>1768</v>
      </c>
      <c r="E186" s="24">
        <v>1</v>
      </c>
      <c r="F186" s="68">
        <f>F185+0.316+0.083+4.883</f>
        <v>22.230999999999995</v>
      </c>
      <c r="G186" s="69">
        <v>817507</v>
      </c>
      <c r="H186" s="69">
        <f t="shared" si="25"/>
        <v>3956602.909</v>
      </c>
    </row>
    <row r="187" spans="1:8" ht="30" customHeight="1" x14ac:dyDescent="0.2">
      <c r="A187" s="158"/>
      <c r="B187" s="158"/>
      <c r="C187" s="27"/>
      <c r="D187" s="24" t="s">
        <v>1759</v>
      </c>
      <c r="E187" s="24">
        <v>3</v>
      </c>
      <c r="F187" s="68">
        <f>F186+0.45+0.183+1.166+1.433</f>
        <v>25.462999999999994</v>
      </c>
      <c r="G187" s="69">
        <f>273616*3</f>
        <v>820848</v>
      </c>
      <c r="H187" s="70">
        <f t="shared" si="25"/>
        <v>4777450.909</v>
      </c>
    </row>
    <row r="188" spans="1:8" ht="30" customHeight="1" x14ac:dyDescent="0.2">
      <c r="A188" s="172" t="s">
        <v>324</v>
      </c>
      <c r="B188" s="172" t="s">
        <v>228</v>
      </c>
      <c r="C188" s="27"/>
      <c r="D188" s="24" t="s">
        <v>1769</v>
      </c>
      <c r="E188" s="24">
        <v>1</v>
      </c>
      <c r="F188" s="68">
        <v>1.9</v>
      </c>
      <c r="G188" s="69">
        <v>736817</v>
      </c>
      <c r="H188" s="69">
        <f>G188</f>
        <v>736817</v>
      </c>
    </row>
    <row r="189" spans="1:8" ht="30" customHeight="1" x14ac:dyDescent="0.2">
      <c r="A189" s="158"/>
      <c r="B189" s="158"/>
      <c r="C189" s="27"/>
      <c r="D189" s="24" t="s">
        <v>1770</v>
      </c>
      <c r="E189" s="24">
        <v>19</v>
      </c>
      <c r="F189" s="68">
        <f>F188+16.083</f>
        <v>17.982999999999997</v>
      </c>
      <c r="G189" s="69">
        <f>1973662</f>
        <v>1973662</v>
      </c>
      <c r="H189" s="70">
        <f>G189+H188</f>
        <v>2710479</v>
      </c>
    </row>
    <row r="190" spans="1:8" ht="30" customHeight="1" x14ac:dyDescent="0.2">
      <c r="A190" s="172" t="s">
        <v>932</v>
      </c>
      <c r="B190" s="172" t="s">
        <v>346</v>
      </c>
      <c r="C190" s="27"/>
      <c r="D190" s="24" t="s">
        <v>1771</v>
      </c>
      <c r="E190" s="24">
        <v>1</v>
      </c>
      <c r="F190" s="68">
        <v>2.35</v>
      </c>
      <c r="G190" s="69">
        <f>232346*2</f>
        <v>464692</v>
      </c>
      <c r="H190" s="69">
        <f>G190</f>
        <v>464692</v>
      </c>
    </row>
    <row r="191" spans="1:8" ht="30" customHeight="1" x14ac:dyDescent="0.2">
      <c r="A191" s="158"/>
      <c r="B191" s="158"/>
      <c r="C191" s="27"/>
      <c r="D191" s="24" t="s">
        <v>1772</v>
      </c>
      <c r="E191" s="24">
        <v>2</v>
      </c>
      <c r="F191" s="68">
        <f>F190+14*2</f>
        <v>30.35</v>
      </c>
      <c r="G191" s="69">
        <f>1364260*2</f>
        <v>2728520</v>
      </c>
      <c r="H191" s="69">
        <f t="shared" ref="H191:H195" si="26">G191+H190</f>
        <v>3193212</v>
      </c>
    </row>
    <row r="192" spans="1:8" ht="30" customHeight="1" x14ac:dyDescent="0.2">
      <c r="A192" s="158"/>
      <c r="B192" s="158"/>
      <c r="C192" s="27"/>
      <c r="D192" s="24" t="s">
        <v>1773</v>
      </c>
      <c r="E192" s="24">
        <v>2</v>
      </c>
      <c r="F192" s="171">
        <f>F191+56+2.35*2</f>
        <v>91.05</v>
      </c>
      <c r="G192" s="69">
        <f>273348*2</f>
        <v>546696</v>
      </c>
      <c r="H192" s="69">
        <f t="shared" si="26"/>
        <v>3739908</v>
      </c>
    </row>
    <row r="193" spans="1:8" ht="30" customHeight="1" x14ac:dyDescent="0.2">
      <c r="A193" s="158"/>
      <c r="B193" s="158"/>
      <c r="C193" s="27"/>
      <c r="D193" s="24" t="s">
        <v>1774</v>
      </c>
      <c r="E193" s="24">
        <v>4</v>
      </c>
      <c r="F193" s="158"/>
      <c r="G193" s="69">
        <f>1364260*4</f>
        <v>5457040</v>
      </c>
      <c r="H193" s="69">
        <f t="shared" si="26"/>
        <v>9196948</v>
      </c>
    </row>
    <row r="194" spans="1:8" ht="30" customHeight="1" x14ac:dyDescent="0.2">
      <c r="A194" s="158"/>
      <c r="B194" s="158"/>
      <c r="C194" s="27"/>
      <c r="D194" s="24" t="s">
        <v>1773</v>
      </c>
      <c r="E194" s="24">
        <v>1</v>
      </c>
      <c r="F194" s="68">
        <f>F192+2.35</f>
        <v>93.399999999999991</v>
      </c>
      <c r="G194" s="69">
        <f>464692/1.7</f>
        <v>273348.23529411765</v>
      </c>
      <c r="H194" s="69">
        <f t="shared" si="26"/>
        <v>9470296.2352941185</v>
      </c>
    </row>
    <row r="195" spans="1:8" ht="30" customHeight="1" x14ac:dyDescent="0.2">
      <c r="A195" s="158"/>
      <c r="B195" s="158"/>
      <c r="C195" s="27"/>
      <c r="D195" s="24" t="s">
        <v>1775</v>
      </c>
      <c r="E195" s="24">
        <v>1</v>
      </c>
      <c r="F195" s="68">
        <f>F194+14*36/97</f>
        <v>98.595876288659781</v>
      </c>
      <c r="G195" s="69">
        <f>1364260*36/97</f>
        <v>506323.29896907217</v>
      </c>
      <c r="H195" s="70">
        <f t="shared" si="26"/>
        <v>9976619.5342631899</v>
      </c>
    </row>
    <row r="196" spans="1:8" ht="30" customHeight="1" x14ac:dyDescent="0.2">
      <c r="A196" s="172" t="s">
        <v>418</v>
      </c>
      <c r="B196" s="172" t="s">
        <v>346</v>
      </c>
      <c r="C196" s="27"/>
      <c r="D196" s="24" t="s">
        <v>1776</v>
      </c>
      <c r="E196" s="24">
        <v>1</v>
      </c>
      <c r="F196" s="68">
        <v>1.9</v>
      </c>
      <c r="G196" s="69">
        <v>736817</v>
      </c>
      <c r="H196" s="69">
        <f>G196</f>
        <v>736817</v>
      </c>
    </row>
    <row r="197" spans="1:8" ht="30" customHeight="1" x14ac:dyDescent="0.2">
      <c r="A197" s="158"/>
      <c r="B197" s="158"/>
      <c r="C197" s="27"/>
      <c r="D197" s="24" t="s">
        <v>418</v>
      </c>
      <c r="E197" s="24">
        <v>16</v>
      </c>
      <c r="F197" s="68">
        <f>F196+24.083</f>
        <v>25.982999999999997</v>
      </c>
      <c r="G197" s="69">
        <f>149123*16</f>
        <v>2385968</v>
      </c>
      <c r="H197" s="70">
        <f>G197+H196</f>
        <v>3122785</v>
      </c>
    </row>
    <row r="198" spans="1:8" ht="30" customHeight="1" x14ac:dyDescent="0.2">
      <c r="A198" s="172" t="s">
        <v>931</v>
      </c>
      <c r="B198" s="172" t="s">
        <v>346</v>
      </c>
      <c r="C198" s="27"/>
      <c r="D198" s="24" t="s">
        <v>1777</v>
      </c>
      <c r="E198" s="24">
        <v>1</v>
      </c>
      <c r="F198" s="68">
        <v>1.9</v>
      </c>
      <c r="G198" s="69">
        <v>736817</v>
      </c>
      <c r="H198" s="69">
        <f>G198</f>
        <v>736817</v>
      </c>
    </row>
    <row r="199" spans="1:8" ht="30" customHeight="1" x14ac:dyDescent="0.2">
      <c r="A199" s="158"/>
      <c r="B199" s="158"/>
      <c r="C199" s="27"/>
      <c r="D199" s="24" t="s">
        <v>1778</v>
      </c>
      <c r="E199" s="24">
        <v>1</v>
      </c>
      <c r="F199" s="68">
        <v>1.9</v>
      </c>
      <c r="G199" s="69">
        <v>202567</v>
      </c>
      <c r="H199" s="69">
        <f t="shared" ref="H199:H200" si="27">G199+H198</f>
        <v>939384</v>
      </c>
    </row>
    <row r="200" spans="1:8" ht="30" customHeight="1" x14ac:dyDescent="0.2">
      <c r="A200" s="158"/>
      <c r="B200" s="158"/>
      <c r="C200" s="27"/>
      <c r="D200" s="24" t="s">
        <v>1779</v>
      </c>
      <c r="E200" s="24">
        <v>34</v>
      </c>
      <c r="F200" s="68">
        <f>F199+37.056</f>
        <v>38.955999999999996</v>
      </c>
      <c r="G200" s="69">
        <f>92508*34</f>
        <v>3145272</v>
      </c>
      <c r="H200" s="70">
        <f t="shared" si="27"/>
        <v>4084656</v>
      </c>
    </row>
    <row r="201" spans="1:8" ht="30" customHeight="1" x14ac:dyDescent="0.2">
      <c r="A201" s="172" t="s">
        <v>234</v>
      </c>
      <c r="B201" s="172" t="s">
        <v>228</v>
      </c>
      <c r="C201" s="27"/>
      <c r="D201" s="24" t="s">
        <v>1780</v>
      </c>
      <c r="E201" s="24">
        <v>1</v>
      </c>
      <c r="F201" s="68">
        <v>1.9</v>
      </c>
      <c r="G201" s="69">
        <v>736817</v>
      </c>
      <c r="H201" s="69">
        <f>G201</f>
        <v>736817</v>
      </c>
    </row>
    <row r="202" spans="1:8" ht="30" customHeight="1" x14ac:dyDescent="0.2">
      <c r="A202" s="158"/>
      <c r="B202" s="158"/>
      <c r="C202" s="27"/>
      <c r="D202" s="24" t="s">
        <v>234</v>
      </c>
      <c r="E202" s="24">
        <v>4</v>
      </c>
      <c r="F202" s="68">
        <f>F201+0.616+1.85*3</f>
        <v>8.0660000000000007</v>
      </c>
      <c r="G202" s="69">
        <f>296724*4</f>
        <v>1186896</v>
      </c>
      <c r="H202" s="70">
        <f>G202+H201</f>
        <v>1923713</v>
      </c>
    </row>
    <row r="203" spans="1:8" ht="30" customHeight="1" x14ac:dyDescent="0.2">
      <c r="A203" s="172" t="s">
        <v>426</v>
      </c>
      <c r="B203" s="172" t="s">
        <v>346</v>
      </c>
      <c r="C203" s="27"/>
      <c r="D203" s="24" t="s">
        <v>1781</v>
      </c>
      <c r="E203" s="24">
        <v>1</v>
      </c>
      <c r="F203" s="68">
        <v>1.9</v>
      </c>
      <c r="G203" s="69">
        <v>736817</v>
      </c>
      <c r="H203" s="69">
        <f>G203</f>
        <v>736817</v>
      </c>
    </row>
    <row r="204" spans="1:8" ht="30" customHeight="1" x14ac:dyDescent="0.2">
      <c r="A204" s="158"/>
      <c r="B204" s="158"/>
      <c r="C204" s="27"/>
      <c r="D204" s="24" t="s">
        <v>426</v>
      </c>
      <c r="E204" s="24">
        <v>3</v>
      </c>
      <c r="F204" s="68">
        <f>F203+40.681</f>
        <v>42.580999999999996</v>
      </c>
      <c r="G204" s="69">
        <v>3612890</v>
      </c>
      <c r="H204" s="70">
        <f>G204+H203</f>
        <v>4349707</v>
      </c>
    </row>
    <row r="205" spans="1:8" ht="30" customHeight="1" x14ac:dyDescent="0.2">
      <c r="A205" s="172" t="s">
        <v>439</v>
      </c>
      <c r="B205" s="172" t="s">
        <v>228</v>
      </c>
      <c r="C205" s="27"/>
      <c r="D205" s="24" t="s">
        <v>1782</v>
      </c>
      <c r="E205" s="24">
        <v>1</v>
      </c>
      <c r="F205" s="68">
        <v>1.9</v>
      </c>
      <c r="G205" s="69">
        <v>736817</v>
      </c>
      <c r="H205" s="69">
        <f>G205</f>
        <v>736817</v>
      </c>
    </row>
    <row r="206" spans="1:8" ht="30" customHeight="1" x14ac:dyDescent="0.2">
      <c r="A206" s="158"/>
      <c r="B206" s="158"/>
      <c r="C206" s="27"/>
      <c r="D206" s="24" t="s">
        <v>439</v>
      </c>
      <c r="E206" s="24">
        <v>10</v>
      </c>
      <c r="F206" s="68">
        <f>F205+18.772</f>
        <v>20.671999999999997</v>
      </c>
      <c r="G206" s="69">
        <f>241662*10</f>
        <v>2416620</v>
      </c>
      <c r="H206" s="70">
        <f>G206+H205</f>
        <v>3153437</v>
      </c>
    </row>
    <row r="207" spans="1:8" ht="30" customHeight="1" x14ac:dyDescent="0.2">
      <c r="A207" s="172" t="s">
        <v>465</v>
      </c>
      <c r="B207" s="172" t="s">
        <v>232</v>
      </c>
      <c r="C207" s="27"/>
      <c r="D207" s="24" t="s">
        <v>1783</v>
      </c>
      <c r="E207" s="24">
        <v>1</v>
      </c>
      <c r="F207" s="68">
        <v>1.9</v>
      </c>
      <c r="G207" s="69">
        <v>736817</v>
      </c>
      <c r="H207" s="69">
        <f>G207</f>
        <v>736817</v>
      </c>
    </row>
    <row r="208" spans="1:8" ht="30" customHeight="1" x14ac:dyDescent="0.2">
      <c r="A208" s="158"/>
      <c r="B208" s="158"/>
      <c r="C208" s="27"/>
      <c r="D208" s="24" t="s">
        <v>1784</v>
      </c>
      <c r="E208" s="24">
        <v>35</v>
      </c>
      <c r="F208" s="68">
        <f>F207+29.084</f>
        <v>30.983999999999998</v>
      </c>
      <c r="G208" s="69">
        <f>88674*35</f>
        <v>3103590</v>
      </c>
      <c r="H208" s="70">
        <f>G208+H207</f>
        <v>3840407</v>
      </c>
    </row>
    <row r="209" spans="1:8" ht="30" customHeight="1" x14ac:dyDescent="0.2">
      <c r="A209" s="172" t="s">
        <v>428</v>
      </c>
      <c r="B209" s="172" t="s">
        <v>228</v>
      </c>
      <c r="C209" s="27"/>
      <c r="D209" s="24" t="s">
        <v>1785</v>
      </c>
      <c r="E209" s="24">
        <v>1</v>
      </c>
      <c r="F209" s="68">
        <v>1.9</v>
      </c>
      <c r="G209" s="69">
        <v>736817</v>
      </c>
      <c r="H209" s="69">
        <f>G209</f>
        <v>736817</v>
      </c>
    </row>
    <row r="210" spans="1:8" ht="30" customHeight="1" x14ac:dyDescent="0.2">
      <c r="A210" s="158"/>
      <c r="B210" s="158"/>
      <c r="C210" s="27"/>
      <c r="D210" s="24" t="s">
        <v>428</v>
      </c>
      <c r="E210" s="24">
        <v>34</v>
      </c>
      <c r="F210" s="68">
        <f>F209+19.616</f>
        <v>21.515999999999998</v>
      </c>
      <c r="G210" s="69">
        <f>56095*34</f>
        <v>1907230</v>
      </c>
      <c r="H210" s="70">
        <f>G210+H209</f>
        <v>2644047</v>
      </c>
    </row>
  </sheetData>
  <mergeCells count="114">
    <mergeCell ref="A2:A4"/>
    <mergeCell ref="B2:B4"/>
    <mergeCell ref="A5:A8"/>
    <mergeCell ref="B5:B8"/>
    <mergeCell ref="A9:A12"/>
    <mergeCell ref="B9:B12"/>
    <mergeCell ref="B13:B15"/>
    <mergeCell ref="E44:E45"/>
    <mergeCell ref="F44:F45"/>
    <mergeCell ref="D38:D39"/>
    <mergeCell ref="E38:E39"/>
    <mergeCell ref="F38:F39"/>
    <mergeCell ref="D41:D42"/>
    <mergeCell ref="E41:E42"/>
    <mergeCell ref="F41:F42"/>
    <mergeCell ref="D44:D45"/>
    <mergeCell ref="A13:A15"/>
    <mergeCell ref="A16:A28"/>
    <mergeCell ref="B16:B28"/>
    <mergeCell ref="A29:A37"/>
    <mergeCell ref="B29:B37"/>
    <mergeCell ref="A38:A46"/>
    <mergeCell ref="B38:B46"/>
    <mergeCell ref="A47:A48"/>
    <mergeCell ref="B47:B48"/>
    <mergeCell ref="A49:A53"/>
    <mergeCell ref="B49:B53"/>
    <mergeCell ref="D51:D53"/>
    <mergeCell ref="E51:E53"/>
    <mergeCell ref="F51:F53"/>
    <mergeCell ref="F54:F56"/>
    <mergeCell ref="F58:F60"/>
    <mergeCell ref="F63:F65"/>
    <mergeCell ref="F66:F68"/>
    <mergeCell ref="F69:F71"/>
    <mergeCell ref="A54:A56"/>
    <mergeCell ref="B54:B56"/>
    <mergeCell ref="D54:D56"/>
    <mergeCell ref="E54:E56"/>
    <mergeCell ref="A57:A60"/>
    <mergeCell ref="B57:B60"/>
    <mergeCell ref="D58:D60"/>
    <mergeCell ref="A201:A202"/>
    <mergeCell ref="A203:A204"/>
    <mergeCell ref="A205:A206"/>
    <mergeCell ref="A207:A208"/>
    <mergeCell ref="B158:B162"/>
    <mergeCell ref="A107:A113"/>
    <mergeCell ref="B107:B113"/>
    <mergeCell ref="A114:A116"/>
    <mergeCell ref="B114:B116"/>
    <mergeCell ref="A117:A119"/>
    <mergeCell ref="B117:B119"/>
    <mergeCell ref="B120:B131"/>
    <mergeCell ref="A120:A131"/>
    <mergeCell ref="A132:A143"/>
    <mergeCell ref="A61:A65"/>
    <mergeCell ref="B61:B65"/>
    <mergeCell ref="D63:D65"/>
    <mergeCell ref="A66:A73"/>
    <mergeCell ref="B66:B73"/>
    <mergeCell ref="D66:D68"/>
    <mergeCell ref="D69:D71"/>
    <mergeCell ref="A209:A210"/>
    <mergeCell ref="B203:B204"/>
    <mergeCell ref="B205:B206"/>
    <mergeCell ref="B207:B208"/>
    <mergeCell ref="B209:B210"/>
    <mergeCell ref="A190:A195"/>
    <mergeCell ref="B190:B195"/>
    <mergeCell ref="A196:A197"/>
    <mergeCell ref="B196:B197"/>
    <mergeCell ref="A198:A200"/>
    <mergeCell ref="B198:B200"/>
    <mergeCell ref="B201:B202"/>
    <mergeCell ref="A144:A157"/>
    <mergeCell ref="A158:A162"/>
    <mergeCell ref="A163:A164"/>
    <mergeCell ref="A165:A178"/>
    <mergeCell ref="B165:B178"/>
    <mergeCell ref="B78:B87"/>
    <mergeCell ref="D80:D81"/>
    <mergeCell ref="F80:F81"/>
    <mergeCell ref="F82:F84"/>
    <mergeCell ref="D83:D84"/>
    <mergeCell ref="D86:D87"/>
    <mergeCell ref="F86:F87"/>
    <mergeCell ref="A74:A77"/>
    <mergeCell ref="B74:B77"/>
    <mergeCell ref="F75:F77"/>
    <mergeCell ref="F159:F160"/>
    <mergeCell ref="B163:B164"/>
    <mergeCell ref="A179:A187"/>
    <mergeCell ref="B179:B187"/>
    <mergeCell ref="A188:A189"/>
    <mergeCell ref="B188:B189"/>
    <mergeCell ref="F192:F193"/>
    <mergeCell ref="A78:A87"/>
    <mergeCell ref="A88:A98"/>
    <mergeCell ref="B88:B98"/>
    <mergeCell ref="A99:A100"/>
    <mergeCell ref="B99:B100"/>
    <mergeCell ref="A101:A106"/>
    <mergeCell ref="B101:B106"/>
    <mergeCell ref="B132:B143"/>
    <mergeCell ref="B144:B157"/>
    <mergeCell ref="D88:D89"/>
    <mergeCell ref="E88:E89"/>
    <mergeCell ref="F88:F89"/>
    <mergeCell ref="D93:D94"/>
    <mergeCell ref="F93:F94"/>
    <mergeCell ref="D96:D97"/>
    <mergeCell ref="F96:F97"/>
    <mergeCell ref="F102:F104"/>
  </mergeCells>
  <conditionalFormatting sqref="C2:C56 C58:C75 C77:C210">
    <cfRule type="containsText" dxfId="16" priority="1" operator="containsText" text="!">
      <formula>NOT(ISERROR(SEARCH(("!"),(C2))))</formula>
    </cfRule>
  </conditionalFormatting>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00FF00"/>
    <outlinePr summaryBelow="0" summaryRight="0"/>
  </sheetPr>
  <dimension ref="A1:E81"/>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46.42578125" customWidth="1"/>
    <col min="2" max="2" width="6.42578125" customWidth="1"/>
    <col min="3" max="3" width="7.5703125" customWidth="1"/>
    <col min="4" max="4" width="8.85546875" customWidth="1"/>
    <col min="5" max="5" width="6.85546875" customWidth="1"/>
  </cols>
  <sheetData>
    <row r="1" spans="1:5" ht="30" customHeight="1" x14ac:dyDescent="0.2">
      <c r="A1" s="33" t="s">
        <v>192</v>
      </c>
      <c r="B1" s="73" t="s">
        <v>356</v>
      </c>
      <c r="C1" s="73" t="s">
        <v>589</v>
      </c>
      <c r="D1" s="73" t="s">
        <v>588</v>
      </c>
      <c r="E1" s="73" t="s">
        <v>590</v>
      </c>
    </row>
    <row r="2" spans="1:5" ht="37.5" customHeight="1" x14ac:dyDescent="0.2">
      <c r="A2" s="24" t="s">
        <v>1786</v>
      </c>
      <c r="B2" s="27"/>
      <c r="C2" s="31">
        <v>1.6660000000000001</v>
      </c>
      <c r="D2" s="52">
        <v>594355.48249999993</v>
      </c>
      <c r="E2" s="52">
        <f t="shared" ref="E2:E81" si="0">ROUND(D2/C2,0)</f>
        <v>356756</v>
      </c>
    </row>
    <row r="3" spans="1:5" ht="37.5" customHeight="1" x14ac:dyDescent="0.2">
      <c r="A3" s="24" t="s">
        <v>1787</v>
      </c>
      <c r="B3" s="27"/>
      <c r="C3" s="31">
        <v>60</v>
      </c>
      <c r="D3" s="52">
        <f>35725246.1677571/119.744*60</f>
        <v>17900811.481706191</v>
      </c>
      <c r="E3" s="52">
        <f t="shared" si="0"/>
        <v>298347</v>
      </c>
    </row>
    <row r="4" spans="1:5" ht="37.5" customHeight="1" x14ac:dyDescent="0.2">
      <c r="A4" s="24" t="s">
        <v>1788</v>
      </c>
      <c r="B4" s="27"/>
      <c r="C4" s="31">
        <v>11.502000000000001</v>
      </c>
      <c r="D4" s="52">
        <v>2969896</v>
      </c>
      <c r="E4" s="52">
        <f t="shared" si="0"/>
        <v>258207</v>
      </c>
    </row>
    <row r="5" spans="1:5" ht="37.5" customHeight="1" x14ac:dyDescent="0.2">
      <c r="A5" s="24" t="s">
        <v>1789</v>
      </c>
      <c r="B5" s="27"/>
      <c r="C5" s="31">
        <v>3.65</v>
      </c>
      <c r="D5" s="52">
        <v>824234</v>
      </c>
      <c r="E5" s="52">
        <f t="shared" si="0"/>
        <v>225818</v>
      </c>
    </row>
    <row r="6" spans="1:5" ht="37.5" customHeight="1" x14ac:dyDescent="0.2">
      <c r="A6" s="24" t="s">
        <v>1790</v>
      </c>
      <c r="B6" s="27"/>
      <c r="C6" s="31">
        <v>10.702</v>
      </c>
      <c r="D6" s="52">
        <v>2377573</v>
      </c>
      <c r="E6" s="52">
        <f t="shared" si="0"/>
        <v>222162</v>
      </c>
    </row>
    <row r="7" spans="1:5" ht="37.5" customHeight="1" x14ac:dyDescent="0.2">
      <c r="A7" s="24" t="s">
        <v>1791</v>
      </c>
      <c r="B7" s="27"/>
      <c r="C7" s="31">
        <v>10.3</v>
      </c>
      <c r="D7" s="52">
        <v>2155041.9193848707</v>
      </c>
      <c r="E7" s="52">
        <f t="shared" si="0"/>
        <v>209227</v>
      </c>
    </row>
    <row r="8" spans="1:5" ht="37.5" customHeight="1" x14ac:dyDescent="0.2">
      <c r="A8" s="24" t="s">
        <v>1792</v>
      </c>
      <c r="B8" s="27"/>
      <c r="C8" s="31">
        <v>10.613999999999999</v>
      </c>
      <c r="D8" s="52">
        <v>2072646.8685390125</v>
      </c>
      <c r="E8" s="52">
        <f t="shared" si="0"/>
        <v>195275</v>
      </c>
    </row>
    <row r="9" spans="1:5" ht="37.5" customHeight="1" x14ac:dyDescent="0.2">
      <c r="A9" s="24" t="s">
        <v>1793</v>
      </c>
      <c r="B9" s="27"/>
      <c r="C9" s="31">
        <v>13.568000000000001</v>
      </c>
      <c r="D9" s="52">
        <v>2628426</v>
      </c>
      <c r="E9" s="52">
        <f t="shared" si="0"/>
        <v>193722</v>
      </c>
    </row>
    <row r="10" spans="1:5" ht="37.5" customHeight="1" x14ac:dyDescent="0.2">
      <c r="A10" s="24" t="s">
        <v>1794</v>
      </c>
      <c r="B10" s="27"/>
      <c r="C10" s="31">
        <v>11.068</v>
      </c>
      <c r="D10" s="52">
        <v>2049455</v>
      </c>
      <c r="E10" s="52">
        <f t="shared" si="0"/>
        <v>185169</v>
      </c>
    </row>
    <row r="11" spans="1:5" ht="37.5" customHeight="1" x14ac:dyDescent="0.2">
      <c r="A11" s="24" t="s">
        <v>1795</v>
      </c>
      <c r="B11" s="27"/>
      <c r="C11" s="31">
        <v>13.047999999999998</v>
      </c>
      <c r="D11" s="52">
        <v>2377573</v>
      </c>
      <c r="E11" s="52">
        <f t="shared" si="0"/>
        <v>182217</v>
      </c>
    </row>
    <row r="12" spans="1:5" ht="37.5" customHeight="1" x14ac:dyDescent="0.2">
      <c r="A12" s="24" t="s">
        <v>1796</v>
      </c>
      <c r="B12" s="27"/>
      <c r="C12" s="31">
        <v>6.1660000000000004</v>
      </c>
      <c r="D12" s="52">
        <v>1098979</v>
      </c>
      <c r="E12" s="52">
        <f t="shared" si="0"/>
        <v>178232</v>
      </c>
    </row>
    <row r="13" spans="1:5" ht="37.5" customHeight="1" x14ac:dyDescent="0.2">
      <c r="A13" s="24" t="s">
        <v>1797</v>
      </c>
      <c r="B13" s="27"/>
      <c r="C13" s="31">
        <v>14.696000000000002</v>
      </c>
      <c r="D13" s="52">
        <v>2377573</v>
      </c>
      <c r="E13" s="52">
        <f t="shared" si="0"/>
        <v>161784</v>
      </c>
    </row>
    <row r="14" spans="1:5" ht="37.5" customHeight="1" x14ac:dyDescent="0.2">
      <c r="A14" s="24" t="s">
        <v>1798</v>
      </c>
      <c r="B14" s="27"/>
      <c r="C14" s="31">
        <v>5.5659999999999998</v>
      </c>
      <c r="D14" s="52">
        <v>839527.29249999998</v>
      </c>
      <c r="E14" s="52">
        <f t="shared" si="0"/>
        <v>150831</v>
      </c>
    </row>
    <row r="15" spans="1:5" ht="37.5" customHeight="1" x14ac:dyDescent="0.2">
      <c r="A15" s="24" t="s">
        <v>1799</v>
      </c>
      <c r="B15" s="27"/>
      <c r="C15" s="31">
        <v>16.733000000000001</v>
      </c>
      <c r="D15" s="52">
        <v>2486709.2249999996</v>
      </c>
      <c r="E15" s="52">
        <f t="shared" si="0"/>
        <v>148611</v>
      </c>
    </row>
    <row r="16" spans="1:5" ht="37.5" customHeight="1" x14ac:dyDescent="0.2">
      <c r="A16" s="24" t="s">
        <v>1800</v>
      </c>
      <c r="B16" s="27"/>
      <c r="C16" s="31">
        <v>17.981999999999999</v>
      </c>
      <c r="D16" s="52">
        <v>2613125.8767692307</v>
      </c>
      <c r="E16" s="52">
        <f t="shared" si="0"/>
        <v>145319</v>
      </c>
    </row>
    <row r="17" spans="1:5" ht="37.5" customHeight="1" x14ac:dyDescent="0.2">
      <c r="A17" s="24" t="s">
        <v>1801</v>
      </c>
      <c r="B17" s="27"/>
      <c r="C17" s="31">
        <v>16.413999999999998</v>
      </c>
      <c r="D17" s="52">
        <v>2377573</v>
      </c>
      <c r="E17" s="52">
        <f t="shared" si="0"/>
        <v>144850</v>
      </c>
    </row>
    <row r="18" spans="1:5" ht="37.5" customHeight="1" x14ac:dyDescent="0.2">
      <c r="A18" s="24" t="s">
        <v>1802</v>
      </c>
      <c r="B18" s="27"/>
      <c r="C18" s="31">
        <v>14.267999999999999</v>
      </c>
      <c r="D18" s="52">
        <v>2049455</v>
      </c>
      <c r="E18" s="52">
        <f t="shared" si="0"/>
        <v>143640</v>
      </c>
    </row>
    <row r="19" spans="1:5" ht="37.5" customHeight="1" x14ac:dyDescent="0.2">
      <c r="A19" s="24" t="s">
        <v>1803</v>
      </c>
      <c r="B19" s="27"/>
      <c r="C19" s="31">
        <v>23.493999999999993</v>
      </c>
      <c r="D19" s="52">
        <v>3264163.1112840762</v>
      </c>
      <c r="E19" s="52">
        <f t="shared" si="0"/>
        <v>138936</v>
      </c>
    </row>
    <row r="20" spans="1:5" ht="37.5" customHeight="1" x14ac:dyDescent="0.2">
      <c r="A20" s="24" t="s">
        <v>1804</v>
      </c>
      <c r="B20" s="27"/>
      <c r="C20" s="31">
        <v>23.916000000000007</v>
      </c>
      <c r="D20" s="52">
        <v>3289364.6608333346</v>
      </c>
      <c r="E20" s="52">
        <f t="shared" si="0"/>
        <v>137538</v>
      </c>
    </row>
    <row r="21" spans="1:5" ht="37.5" customHeight="1" x14ac:dyDescent="0.2">
      <c r="A21" s="24" t="s">
        <v>1805</v>
      </c>
      <c r="B21" s="27"/>
      <c r="C21" s="31">
        <v>16.889000000000003</v>
      </c>
      <c r="D21" s="52">
        <v>2204064.1999999997</v>
      </c>
      <c r="E21" s="52">
        <f t="shared" si="0"/>
        <v>130503</v>
      </c>
    </row>
    <row r="22" spans="1:5" ht="37.5" customHeight="1" x14ac:dyDescent="0.2">
      <c r="A22" s="24" t="s">
        <v>1806</v>
      </c>
      <c r="B22" s="27"/>
      <c r="C22" s="31">
        <v>11.216999999999999</v>
      </c>
      <c r="D22" s="52">
        <v>1459978.4225000001</v>
      </c>
      <c r="E22" s="52">
        <f t="shared" si="0"/>
        <v>130158</v>
      </c>
    </row>
    <row r="23" spans="1:5" ht="37.5" customHeight="1" x14ac:dyDescent="0.2">
      <c r="A23" s="24" t="s">
        <v>1807</v>
      </c>
      <c r="B23" s="27"/>
      <c r="C23" s="31">
        <v>14.099</v>
      </c>
      <c r="D23" s="52">
        <v>1827464.5350000001</v>
      </c>
      <c r="E23" s="52">
        <f t="shared" si="0"/>
        <v>129617</v>
      </c>
    </row>
    <row r="24" spans="1:5" ht="37.5" customHeight="1" x14ac:dyDescent="0.2">
      <c r="A24" s="24" t="s">
        <v>1808</v>
      </c>
      <c r="B24" s="27"/>
      <c r="C24" s="31">
        <v>29.887</v>
      </c>
      <c r="D24" s="52">
        <v>3866280.9449605821</v>
      </c>
      <c r="E24" s="52">
        <f t="shared" si="0"/>
        <v>129363</v>
      </c>
    </row>
    <row r="25" spans="1:5" ht="37.5" customHeight="1" x14ac:dyDescent="0.2">
      <c r="A25" s="24" t="s">
        <v>1809</v>
      </c>
      <c r="B25" s="27"/>
      <c r="C25" s="31">
        <v>30.162999999999993</v>
      </c>
      <c r="D25" s="52">
        <v>3892182</v>
      </c>
      <c r="E25" s="52">
        <f t="shared" si="0"/>
        <v>129038</v>
      </c>
    </row>
    <row r="26" spans="1:5" ht="37.5" customHeight="1" x14ac:dyDescent="0.2">
      <c r="A26" s="24" t="s">
        <v>1810</v>
      </c>
      <c r="B26" s="27"/>
      <c r="C26" s="31">
        <v>29.465999999999998</v>
      </c>
      <c r="D26" s="52">
        <v>3774167.7243205165</v>
      </c>
      <c r="E26" s="52">
        <f t="shared" si="0"/>
        <v>128086</v>
      </c>
    </row>
    <row r="27" spans="1:5" ht="37.5" customHeight="1" x14ac:dyDescent="0.2">
      <c r="A27" s="24" t="s">
        <v>1811</v>
      </c>
      <c r="B27" s="27"/>
      <c r="C27" s="31">
        <v>19.783000000000005</v>
      </c>
      <c r="D27" s="52">
        <v>2481445.6874999995</v>
      </c>
      <c r="E27" s="52">
        <f t="shared" si="0"/>
        <v>125433</v>
      </c>
    </row>
    <row r="28" spans="1:5" ht="37.5" customHeight="1" x14ac:dyDescent="0.2">
      <c r="A28" s="24" t="s">
        <v>1812</v>
      </c>
      <c r="B28" s="27"/>
      <c r="C28" s="31">
        <v>10.356</v>
      </c>
      <c r="D28" s="52">
        <v>1274059.1180317011</v>
      </c>
      <c r="E28" s="52">
        <f t="shared" si="0"/>
        <v>123026</v>
      </c>
    </row>
    <row r="29" spans="1:5" ht="37.5" customHeight="1" x14ac:dyDescent="0.2">
      <c r="A29" s="24" t="s">
        <v>1813</v>
      </c>
      <c r="B29" s="27"/>
      <c r="C29" s="31">
        <v>20.910999999999994</v>
      </c>
      <c r="D29" s="52">
        <v>2550464</v>
      </c>
      <c r="E29" s="52">
        <f t="shared" si="0"/>
        <v>121968</v>
      </c>
    </row>
    <row r="30" spans="1:5" ht="37.5" customHeight="1" x14ac:dyDescent="0.2">
      <c r="A30" s="24" t="s">
        <v>1814</v>
      </c>
      <c r="B30" s="27"/>
      <c r="C30" s="31">
        <v>11.902999999999997</v>
      </c>
      <c r="D30" s="52">
        <v>1418359.7999999998</v>
      </c>
      <c r="E30" s="52">
        <f t="shared" si="0"/>
        <v>119160</v>
      </c>
    </row>
    <row r="31" spans="1:5" ht="37.5" customHeight="1" x14ac:dyDescent="0.2">
      <c r="A31" s="24" t="s">
        <v>1815</v>
      </c>
      <c r="B31" s="27"/>
      <c r="C31" s="31">
        <v>31.898</v>
      </c>
      <c r="D31" s="52">
        <v>3788068.7495625978</v>
      </c>
      <c r="E31" s="52">
        <f t="shared" si="0"/>
        <v>118756</v>
      </c>
    </row>
    <row r="32" spans="1:5" ht="37.5" customHeight="1" x14ac:dyDescent="0.2">
      <c r="A32" s="24" t="s">
        <v>1816</v>
      </c>
      <c r="B32" s="27"/>
      <c r="C32" s="31">
        <v>13.091999999999999</v>
      </c>
      <c r="D32" s="52">
        <v>1548096</v>
      </c>
      <c r="E32" s="52">
        <f t="shared" si="0"/>
        <v>118247</v>
      </c>
    </row>
    <row r="33" spans="1:5" ht="37.5" customHeight="1" x14ac:dyDescent="0.2">
      <c r="A33" s="24" t="s">
        <v>1817</v>
      </c>
      <c r="B33" s="27"/>
      <c r="C33" s="31">
        <v>60</v>
      </c>
      <c r="D33" s="52">
        <f>13974688/118.327*60</f>
        <v>7086136.553787386</v>
      </c>
      <c r="E33" s="52">
        <f t="shared" si="0"/>
        <v>118102</v>
      </c>
    </row>
    <row r="34" spans="1:5" ht="37.5" customHeight="1" x14ac:dyDescent="0.2">
      <c r="A34" s="24" t="s">
        <v>1818</v>
      </c>
      <c r="B34" s="27"/>
      <c r="C34" s="31">
        <v>60</v>
      </c>
      <c r="D34" s="52">
        <f>13227526.26/118.894*60</f>
        <v>6675287.0254175989</v>
      </c>
      <c r="E34" s="52">
        <f t="shared" si="0"/>
        <v>111255</v>
      </c>
    </row>
    <row r="35" spans="1:5" ht="37.5" customHeight="1" x14ac:dyDescent="0.2">
      <c r="A35" s="24" t="s">
        <v>1819</v>
      </c>
      <c r="B35" s="27"/>
      <c r="C35" s="31">
        <v>36.725999999999992</v>
      </c>
      <c r="D35" s="52">
        <v>3962428.1886120746</v>
      </c>
      <c r="E35" s="52">
        <f t="shared" si="0"/>
        <v>107892</v>
      </c>
    </row>
    <row r="36" spans="1:5" ht="37.5" customHeight="1" x14ac:dyDescent="0.2">
      <c r="A36" s="24" t="s">
        <v>1820</v>
      </c>
      <c r="B36" s="27"/>
      <c r="C36" s="31">
        <v>12.618999999999998</v>
      </c>
      <c r="D36" s="52">
        <v>1360914.8800000001</v>
      </c>
      <c r="E36" s="52">
        <f t="shared" si="0"/>
        <v>107846</v>
      </c>
    </row>
    <row r="37" spans="1:5" ht="37.5" customHeight="1" x14ac:dyDescent="0.2">
      <c r="A37" s="24" t="s">
        <v>1821</v>
      </c>
      <c r="B37" s="27"/>
      <c r="C37" s="31">
        <v>16.598000000000003</v>
      </c>
      <c r="D37" s="52">
        <v>1786073.9000000001</v>
      </c>
      <c r="E37" s="52">
        <f t="shared" si="0"/>
        <v>107608</v>
      </c>
    </row>
    <row r="38" spans="1:5" ht="37.5" customHeight="1" x14ac:dyDescent="0.2">
      <c r="A38" s="24" t="s">
        <v>1822</v>
      </c>
      <c r="B38" s="27"/>
      <c r="C38" s="31">
        <v>17.030999999999999</v>
      </c>
      <c r="D38" s="52">
        <v>1827464.5350000001</v>
      </c>
      <c r="E38" s="52">
        <f t="shared" si="0"/>
        <v>107302</v>
      </c>
    </row>
    <row r="39" spans="1:5" ht="37.5" customHeight="1" x14ac:dyDescent="0.2">
      <c r="A39" s="24" t="s">
        <v>1823</v>
      </c>
      <c r="B39" s="27"/>
      <c r="C39" s="31">
        <v>16.5</v>
      </c>
      <c r="D39" s="52">
        <v>1765943.5950000007</v>
      </c>
      <c r="E39" s="52">
        <f t="shared" si="0"/>
        <v>107027</v>
      </c>
    </row>
    <row r="40" spans="1:5" ht="37.5" customHeight="1" x14ac:dyDescent="0.2">
      <c r="A40" s="24" t="s">
        <v>1824</v>
      </c>
      <c r="B40" s="27"/>
      <c r="C40" s="31">
        <v>31.825999999999986</v>
      </c>
      <c r="D40" s="52">
        <v>3400898.3022514493</v>
      </c>
      <c r="E40" s="52">
        <f t="shared" si="0"/>
        <v>106859</v>
      </c>
    </row>
    <row r="41" spans="1:5" ht="37.5" customHeight="1" x14ac:dyDescent="0.2">
      <c r="A41" s="24" t="s">
        <v>1825</v>
      </c>
      <c r="B41" s="27"/>
      <c r="C41" s="31">
        <v>60</v>
      </c>
      <c r="D41" s="52">
        <f>12690713.88/118.978*60</f>
        <v>6399862.4350720309</v>
      </c>
      <c r="E41" s="52">
        <f t="shared" si="0"/>
        <v>106664</v>
      </c>
    </row>
    <row r="42" spans="1:5" ht="37.5" customHeight="1" x14ac:dyDescent="0.2">
      <c r="A42" s="24" t="s">
        <v>465</v>
      </c>
      <c r="B42" s="27"/>
      <c r="C42" s="31">
        <v>27.216999999999988</v>
      </c>
      <c r="D42" s="52">
        <v>2873683.3124999991</v>
      </c>
      <c r="E42" s="52">
        <f t="shared" si="0"/>
        <v>105584</v>
      </c>
    </row>
    <row r="43" spans="1:5" ht="37.5" customHeight="1" x14ac:dyDescent="0.2">
      <c r="A43" s="27" t="s">
        <v>1826</v>
      </c>
      <c r="B43" s="27"/>
      <c r="C43" s="31">
        <v>17.227999999999998</v>
      </c>
      <c r="D43" s="52">
        <v>1785728</v>
      </c>
      <c r="E43" s="52">
        <f t="shared" si="0"/>
        <v>103653</v>
      </c>
    </row>
    <row r="44" spans="1:5" ht="37.5" customHeight="1" x14ac:dyDescent="0.2">
      <c r="A44" s="24" t="s">
        <v>1827</v>
      </c>
      <c r="B44" s="27"/>
      <c r="C44" s="31">
        <v>33.566000000000003</v>
      </c>
      <c r="D44" s="52">
        <v>3463980.6174999997</v>
      </c>
      <c r="E44" s="52">
        <f t="shared" si="0"/>
        <v>103199</v>
      </c>
    </row>
    <row r="45" spans="1:5" ht="37.5" customHeight="1" x14ac:dyDescent="0.2">
      <c r="A45" s="24" t="s">
        <v>1828</v>
      </c>
      <c r="B45" s="27"/>
      <c r="C45" s="31">
        <v>36.226000000000006</v>
      </c>
      <c r="D45" s="52">
        <v>3716279.5150000006</v>
      </c>
      <c r="E45" s="52">
        <f t="shared" si="0"/>
        <v>102586</v>
      </c>
    </row>
    <row r="46" spans="1:5" ht="37.5" customHeight="1" x14ac:dyDescent="0.2">
      <c r="A46" s="24" t="s">
        <v>1829</v>
      </c>
      <c r="B46" s="27"/>
      <c r="C46" s="31">
        <v>21.951000000000004</v>
      </c>
      <c r="D46" s="52">
        <v>2209234.5599999996</v>
      </c>
      <c r="E46" s="52">
        <f t="shared" si="0"/>
        <v>100644</v>
      </c>
    </row>
    <row r="47" spans="1:5" ht="37.5" customHeight="1" x14ac:dyDescent="0.2">
      <c r="A47" s="24" t="s">
        <v>1830</v>
      </c>
      <c r="B47" s="27"/>
      <c r="C47" s="31">
        <v>32.85</v>
      </c>
      <c r="D47" s="52">
        <v>3289732.7450000001</v>
      </c>
      <c r="E47" s="52">
        <f t="shared" si="0"/>
        <v>100144</v>
      </c>
    </row>
    <row r="48" spans="1:5" ht="37.5" customHeight="1" x14ac:dyDescent="0.2">
      <c r="A48" s="24" t="s">
        <v>1831</v>
      </c>
      <c r="B48" s="27"/>
      <c r="C48" s="31">
        <v>25.411999999999999</v>
      </c>
      <c r="D48" s="52">
        <v>2498096.0067387186</v>
      </c>
      <c r="E48" s="52">
        <f t="shared" si="0"/>
        <v>98304</v>
      </c>
    </row>
    <row r="49" spans="1:5" ht="37.5" customHeight="1" x14ac:dyDescent="0.2">
      <c r="A49" s="24" t="s">
        <v>1832</v>
      </c>
      <c r="B49" s="27"/>
      <c r="C49" s="31">
        <v>35.25</v>
      </c>
      <c r="D49" s="52">
        <v>3345268.5175000001</v>
      </c>
      <c r="E49" s="52">
        <f t="shared" si="0"/>
        <v>94901</v>
      </c>
    </row>
    <row r="50" spans="1:5" ht="37.5" customHeight="1" x14ac:dyDescent="0.2">
      <c r="A50" s="24" t="s">
        <v>1833</v>
      </c>
      <c r="B50" s="27"/>
      <c r="C50" s="31">
        <v>25.564000000000007</v>
      </c>
      <c r="D50" s="52">
        <v>2327280.5399999996</v>
      </c>
      <c r="E50" s="52">
        <f t="shared" si="0"/>
        <v>91037</v>
      </c>
    </row>
    <row r="51" spans="1:5" ht="37.5" customHeight="1" x14ac:dyDescent="0.2">
      <c r="A51" s="24" t="s">
        <v>1834</v>
      </c>
      <c r="B51" s="27"/>
      <c r="C51" s="31">
        <v>11.55</v>
      </c>
      <c r="D51" s="52">
        <v>1051478.3500000001</v>
      </c>
      <c r="E51" s="52">
        <f t="shared" si="0"/>
        <v>91037</v>
      </c>
    </row>
    <row r="52" spans="1:5" ht="37.5" customHeight="1" x14ac:dyDescent="0.2">
      <c r="A52" s="24" t="s">
        <v>1835</v>
      </c>
      <c r="B52" s="27"/>
      <c r="C52" s="31">
        <v>60</v>
      </c>
      <c r="D52" s="52">
        <f>8048040.60531578/88.707*60</f>
        <v>5443566.3061420955</v>
      </c>
      <c r="E52" s="52">
        <f t="shared" si="0"/>
        <v>90726</v>
      </c>
    </row>
    <row r="53" spans="1:5" ht="37.5" customHeight="1" x14ac:dyDescent="0.2">
      <c r="A53" s="24" t="s">
        <v>1836</v>
      </c>
      <c r="B53" s="27"/>
      <c r="C53" s="31">
        <v>60</v>
      </c>
      <c r="D53" s="52">
        <f>10065373.5/119.116*60</f>
        <v>5070036.0153128039</v>
      </c>
      <c r="E53" s="52">
        <f t="shared" si="0"/>
        <v>84501</v>
      </c>
    </row>
    <row r="54" spans="1:5" ht="37.5" customHeight="1" x14ac:dyDescent="0.2">
      <c r="A54" s="24" t="s">
        <v>1837</v>
      </c>
      <c r="B54" s="27"/>
      <c r="C54" s="31">
        <v>18.870999999999995</v>
      </c>
      <c r="D54" s="52">
        <v>1588865.9853492563</v>
      </c>
      <c r="E54" s="52">
        <f t="shared" si="0"/>
        <v>84196</v>
      </c>
    </row>
    <row r="55" spans="1:5" ht="37.5" customHeight="1" x14ac:dyDescent="0.2">
      <c r="A55" s="24" t="s">
        <v>1838</v>
      </c>
      <c r="B55" s="27"/>
      <c r="C55" s="31">
        <v>35.058</v>
      </c>
      <c r="D55" s="52">
        <v>2912290.6670598011</v>
      </c>
      <c r="E55" s="52">
        <f t="shared" si="0"/>
        <v>83071</v>
      </c>
    </row>
    <row r="56" spans="1:5" ht="37.5" customHeight="1" x14ac:dyDescent="0.2">
      <c r="A56" s="24" t="s">
        <v>1839</v>
      </c>
      <c r="B56" s="27"/>
      <c r="C56" s="31">
        <v>38.744</v>
      </c>
      <c r="D56" s="52">
        <v>3159475</v>
      </c>
      <c r="E56" s="52">
        <f t="shared" si="0"/>
        <v>81547</v>
      </c>
    </row>
    <row r="57" spans="1:5" ht="37.5" customHeight="1" x14ac:dyDescent="0.2">
      <c r="A57" s="24" t="s">
        <v>1840</v>
      </c>
      <c r="B57" s="27"/>
      <c r="C57" s="31">
        <v>50.94899999999997</v>
      </c>
      <c r="D57" s="52">
        <v>4144743.4836307555</v>
      </c>
      <c r="E57" s="52">
        <f t="shared" si="0"/>
        <v>81351</v>
      </c>
    </row>
    <row r="58" spans="1:5" ht="37.5" customHeight="1" x14ac:dyDescent="0.2">
      <c r="A58" s="24" t="s">
        <v>1841</v>
      </c>
      <c r="B58" s="27"/>
      <c r="C58" s="31">
        <v>17.666</v>
      </c>
      <c r="D58" s="52">
        <v>1426451.8104081147</v>
      </c>
      <c r="E58" s="52">
        <f t="shared" si="0"/>
        <v>80746</v>
      </c>
    </row>
    <row r="59" spans="1:5" ht="37.5" customHeight="1" x14ac:dyDescent="0.2">
      <c r="A59" s="24" t="s">
        <v>1842</v>
      </c>
      <c r="B59" s="27"/>
      <c r="C59" s="31">
        <v>19.490999999999996</v>
      </c>
      <c r="D59" s="52">
        <v>1571770.276932959</v>
      </c>
      <c r="E59" s="52">
        <f t="shared" si="0"/>
        <v>80641</v>
      </c>
    </row>
    <row r="60" spans="1:5" ht="37.5" customHeight="1" x14ac:dyDescent="0.2">
      <c r="A60" s="24" t="s">
        <v>1843</v>
      </c>
      <c r="B60" s="27"/>
      <c r="C60" s="31">
        <v>19.2</v>
      </c>
      <c r="D60" s="52">
        <v>1510252</v>
      </c>
      <c r="E60" s="52">
        <f t="shared" si="0"/>
        <v>78659</v>
      </c>
    </row>
    <row r="61" spans="1:5" ht="37.5" customHeight="1" x14ac:dyDescent="0.2">
      <c r="A61" s="24" t="s">
        <v>1844</v>
      </c>
      <c r="B61" s="27"/>
      <c r="C61" s="31">
        <v>27.559000000000001</v>
      </c>
      <c r="D61" s="52">
        <v>2115718.4495947501</v>
      </c>
      <c r="E61" s="52">
        <f t="shared" si="0"/>
        <v>76771</v>
      </c>
    </row>
    <row r="62" spans="1:5" ht="37.5" customHeight="1" x14ac:dyDescent="0.2">
      <c r="A62" s="24" t="s">
        <v>1845</v>
      </c>
      <c r="B62" s="27"/>
      <c r="C62" s="31">
        <v>24.093000000000007</v>
      </c>
      <c r="D62" s="52">
        <v>1798409</v>
      </c>
      <c r="E62" s="52">
        <f t="shared" si="0"/>
        <v>74644</v>
      </c>
    </row>
    <row r="63" spans="1:5" ht="37.5" customHeight="1" x14ac:dyDescent="0.2">
      <c r="A63" s="24" t="s">
        <v>1846</v>
      </c>
      <c r="B63" s="27"/>
      <c r="C63" s="31">
        <v>40.015999999999998</v>
      </c>
      <c r="D63" s="52">
        <v>2970181.5</v>
      </c>
      <c r="E63" s="52">
        <f t="shared" si="0"/>
        <v>74225</v>
      </c>
    </row>
    <row r="64" spans="1:5" ht="37.5" customHeight="1" x14ac:dyDescent="0.2">
      <c r="A64" s="24" t="s">
        <v>1847</v>
      </c>
      <c r="B64" s="27"/>
      <c r="C64" s="31">
        <v>30.812000000000005</v>
      </c>
      <c r="D64" s="52">
        <v>2103535.5899999994</v>
      </c>
      <c r="E64" s="52">
        <f t="shared" si="0"/>
        <v>68270</v>
      </c>
    </row>
    <row r="65" spans="1:5" ht="37.5" customHeight="1" x14ac:dyDescent="0.2">
      <c r="A65" s="24" t="s">
        <v>1848</v>
      </c>
      <c r="B65" s="27"/>
      <c r="C65" s="31">
        <v>60</v>
      </c>
      <c r="D65" s="52">
        <f>8143792.8/119.5*60</f>
        <v>4088933.6234309622</v>
      </c>
      <c r="E65" s="52">
        <f t="shared" si="0"/>
        <v>68149</v>
      </c>
    </row>
    <row r="66" spans="1:5" ht="37.5" customHeight="1" x14ac:dyDescent="0.2">
      <c r="A66" s="24" t="s">
        <v>1849</v>
      </c>
      <c r="B66" s="27"/>
      <c r="C66" s="31">
        <v>25.898000000000003</v>
      </c>
      <c r="D66" s="52">
        <v>1711966.9516949994</v>
      </c>
      <c r="E66" s="52">
        <f t="shared" si="0"/>
        <v>66104</v>
      </c>
    </row>
    <row r="67" spans="1:5" ht="37.5" customHeight="1" x14ac:dyDescent="0.2">
      <c r="A67" s="24" t="s">
        <v>1850</v>
      </c>
      <c r="B67" s="27"/>
      <c r="C67" s="31">
        <v>26.992999999999991</v>
      </c>
      <c r="D67" s="52">
        <v>1772995.9618371008</v>
      </c>
      <c r="E67" s="52">
        <f t="shared" si="0"/>
        <v>65684</v>
      </c>
    </row>
    <row r="68" spans="1:5" ht="37.5" customHeight="1" x14ac:dyDescent="0.2">
      <c r="A68" s="24" t="s">
        <v>1851</v>
      </c>
      <c r="B68" s="27"/>
      <c r="C68" s="31">
        <v>22.265999999999995</v>
      </c>
      <c r="D68" s="52">
        <v>1405470.2309183255</v>
      </c>
      <c r="E68" s="52">
        <f t="shared" si="0"/>
        <v>63122</v>
      </c>
    </row>
    <row r="69" spans="1:5" ht="37.5" customHeight="1" x14ac:dyDescent="0.2">
      <c r="A69" s="24" t="s">
        <v>1852</v>
      </c>
      <c r="B69" s="27"/>
      <c r="C69" s="31">
        <v>26.853000000000009</v>
      </c>
      <c r="D69" s="52">
        <v>1475067.8159080497</v>
      </c>
      <c r="E69" s="52">
        <f t="shared" si="0"/>
        <v>54931</v>
      </c>
    </row>
    <row r="70" spans="1:5" ht="37.5" customHeight="1" x14ac:dyDescent="0.2">
      <c r="A70" s="24" t="s">
        <v>1853</v>
      </c>
      <c r="B70" s="27"/>
      <c r="C70" s="31">
        <v>42.2</v>
      </c>
      <c r="D70" s="52">
        <v>1585943.3585277754</v>
      </c>
      <c r="E70" s="52">
        <f t="shared" si="0"/>
        <v>37582</v>
      </c>
    </row>
    <row r="71" spans="1:5" ht="37.5" customHeight="1" x14ac:dyDescent="0.2">
      <c r="A71" s="24" t="s">
        <v>1854</v>
      </c>
      <c r="B71" s="27"/>
      <c r="C71" s="31">
        <v>60</v>
      </c>
      <c r="D71" s="52">
        <f>4261502.7/118.716*60</f>
        <v>2153796.9776609726</v>
      </c>
      <c r="E71" s="52">
        <f t="shared" si="0"/>
        <v>35897</v>
      </c>
    </row>
    <row r="72" spans="1:5" ht="37.5" customHeight="1" x14ac:dyDescent="0.2">
      <c r="A72" s="24" t="s">
        <v>1855</v>
      </c>
      <c r="B72" s="27"/>
      <c r="C72" s="31">
        <v>60</v>
      </c>
      <c r="D72" s="52">
        <f>4265440/119.526*60</f>
        <v>2141177.6517243111</v>
      </c>
      <c r="E72" s="52">
        <f t="shared" si="0"/>
        <v>35686</v>
      </c>
    </row>
    <row r="73" spans="1:5" ht="37.5" customHeight="1" x14ac:dyDescent="0.2">
      <c r="A73" s="24" t="s">
        <v>1856</v>
      </c>
      <c r="B73" s="27"/>
      <c r="C73" s="31">
        <v>60</v>
      </c>
      <c r="D73" s="52">
        <f>3295943.9175/100.793*60</f>
        <v>1962007.6299941463</v>
      </c>
      <c r="E73" s="52">
        <f t="shared" si="0"/>
        <v>32700</v>
      </c>
    </row>
    <row r="74" spans="1:5" ht="37.5" customHeight="1" x14ac:dyDescent="0.2">
      <c r="A74" s="24" t="s">
        <v>1857</v>
      </c>
      <c r="B74" s="27"/>
      <c r="C74" s="31">
        <v>29.734543352601154</v>
      </c>
      <c r="D74" s="52">
        <v>901390.89845214644</v>
      </c>
      <c r="E74" s="52">
        <f t="shared" si="0"/>
        <v>30315</v>
      </c>
    </row>
    <row r="75" spans="1:5" ht="37.5" customHeight="1" x14ac:dyDescent="0.2">
      <c r="A75" s="24" t="s">
        <v>1858</v>
      </c>
      <c r="B75" s="27"/>
      <c r="C75" s="31">
        <v>60</v>
      </c>
      <c r="D75" s="52">
        <f>1619606.77874308/74.027*60</f>
        <v>1312715.7216229863</v>
      </c>
      <c r="E75" s="52">
        <f t="shared" si="0"/>
        <v>21879</v>
      </c>
    </row>
    <row r="76" spans="1:5" ht="37.5" customHeight="1" x14ac:dyDescent="0.2">
      <c r="A76" s="24" t="s">
        <v>1859</v>
      </c>
      <c r="B76" s="27"/>
      <c r="C76" s="31">
        <v>60</v>
      </c>
      <c r="D76" s="52">
        <f>1964249.105/109.192*60</f>
        <v>1079336.8222946736</v>
      </c>
      <c r="E76" s="52">
        <f t="shared" si="0"/>
        <v>17989</v>
      </c>
    </row>
    <row r="77" spans="1:5" ht="37.5" customHeight="1" x14ac:dyDescent="0.2">
      <c r="A77" s="24" t="s">
        <v>1860</v>
      </c>
      <c r="B77" s="27"/>
      <c r="C77" s="31">
        <v>60</v>
      </c>
      <c r="D77" s="52">
        <f>4003414.9025/226.866*60</f>
        <v>1058796.3562190896</v>
      </c>
      <c r="E77" s="52">
        <f t="shared" si="0"/>
        <v>17647</v>
      </c>
    </row>
    <row r="78" spans="1:5" ht="37.5" customHeight="1" x14ac:dyDescent="0.2">
      <c r="A78" s="24" t="s">
        <v>1861</v>
      </c>
      <c r="B78" s="27"/>
      <c r="C78" s="31">
        <v>60</v>
      </c>
      <c r="D78" s="52">
        <f>1212998/118.929*60</f>
        <v>611960.74969099206</v>
      </c>
      <c r="E78" s="52">
        <f t="shared" si="0"/>
        <v>10199</v>
      </c>
    </row>
    <row r="79" spans="1:5" ht="37.5" customHeight="1" x14ac:dyDescent="0.2">
      <c r="A79" s="24" t="s">
        <v>901</v>
      </c>
      <c r="B79" s="27"/>
      <c r="C79" s="31">
        <v>60</v>
      </c>
      <c r="D79" s="52">
        <f>609648/120*60</f>
        <v>304824</v>
      </c>
      <c r="E79" s="52">
        <f t="shared" si="0"/>
        <v>5080</v>
      </c>
    </row>
    <row r="80" spans="1:5" ht="37.5" customHeight="1" x14ac:dyDescent="0.2">
      <c r="A80" s="24" t="s">
        <v>1862</v>
      </c>
      <c r="B80" s="27"/>
      <c r="C80" s="31">
        <v>60</v>
      </c>
      <c r="D80" s="52">
        <f>552123/119.922*60</f>
        <v>276241.05668684642</v>
      </c>
      <c r="E80" s="52">
        <f t="shared" si="0"/>
        <v>4604</v>
      </c>
    </row>
    <row r="81" spans="1:5" ht="37.5" customHeight="1" x14ac:dyDescent="0.2">
      <c r="A81" s="24" t="s">
        <v>903</v>
      </c>
      <c r="B81" s="27"/>
      <c r="C81" s="31">
        <v>60</v>
      </c>
      <c r="D81" s="52">
        <f>294179.6/119.658*60</f>
        <v>147510.20408163263</v>
      </c>
      <c r="E81" s="52">
        <f t="shared" si="0"/>
        <v>2459</v>
      </c>
    </row>
  </sheetData>
  <autoFilter ref="A1:E81" xr:uid="{00000000-0009-0000-0000-00000B000000}"/>
  <customSheetViews>
    <customSheetView guid="{04D8138C-E48E-464D-9522-DA976F39619D}" filter="1" showAutoFilter="1">
      <pageMargins left="0.7" right="0.7" top="0.75" bottom="0.75" header="0.3" footer="0.3"/>
      <autoFilter ref="A1:E81" xr:uid="{5E2CC29F-9CC6-4DD4-BD28-DE6BA32773C9}"/>
    </customSheetView>
  </customSheetViews>
  <conditionalFormatting sqref="B2:B81">
    <cfRule type="containsText" dxfId="15" priority="2" operator="containsText" text="!">
      <formula>NOT(ISERROR(SEARCH(("!"),(B2))))</formula>
    </cfRule>
  </conditionalFormatting>
  <conditionalFormatting sqref="B20">
    <cfRule type="colorScale" priority="1">
      <colorScale>
        <cfvo type="min"/>
        <cfvo type="formula" val="1"/>
        <cfvo type="max"/>
        <color rgb="FFE67C73"/>
        <color rgb="FFFFD666"/>
        <color rgb="FF57BB8A"/>
      </colorScale>
    </cfRule>
  </conditionalFormatting>
  <conditionalFormatting sqref="D2:D81">
    <cfRule type="colorScale" priority="4">
      <colorScale>
        <cfvo type="min"/>
        <cfvo type="percentile" val="50"/>
        <cfvo type="max"/>
        <color rgb="FFE67C73"/>
        <color rgb="FFFFD666"/>
        <color rgb="FF57BB8A"/>
      </colorScale>
    </cfRule>
  </conditionalFormatting>
  <conditionalFormatting sqref="E2:E81">
    <cfRule type="colorScale" priority="3">
      <colorScale>
        <cfvo type="min"/>
        <cfvo type="percentile" val="50"/>
        <cfvo type="max"/>
        <color rgb="FFE67C73"/>
        <color rgb="FFFFD666"/>
        <color rgb="FF57BB8A"/>
      </colorScale>
    </cfRule>
  </conditionalFormatting>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00FF00"/>
    <outlinePr summaryBelow="0" summaryRight="0"/>
  </sheetPr>
  <dimension ref="A1:P82"/>
  <sheetViews>
    <sheetView workbookViewId="0">
      <pane xSplit="2" ySplit="1" topLeftCell="C2" activePane="bottomRight" state="frozen"/>
      <selection pane="topRight" activeCell="C1" sqref="C1"/>
      <selection pane="bottomLeft" activeCell="A2" sqref="A2"/>
      <selection pane="bottomRight" activeCell="C2" sqref="C2"/>
    </sheetView>
  </sheetViews>
  <sheetFormatPr defaultColWidth="12.5703125" defaultRowHeight="15.75" customHeight="1" x14ac:dyDescent="0.2"/>
  <cols>
    <col min="1" max="1" width="46.42578125" customWidth="1"/>
    <col min="2" max="2" width="6.42578125" customWidth="1"/>
    <col min="3" max="3" width="8.140625" customWidth="1"/>
    <col min="4" max="8" width="7.5703125" customWidth="1"/>
    <col min="9" max="9" width="8.5703125" customWidth="1"/>
    <col min="10" max="16" width="7.5703125" customWidth="1"/>
  </cols>
  <sheetData>
    <row r="1" spans="1:16" ht="30" customHeight="1" x14ac:dyDescent="0.2">
      <c r="A1" s="1" t="s">
        <v>192</v>
      </c>
      <c r="B1" s="28" t="s">
        <v>356</v>
      </c>
      <c r="C1" s="74" t="s">
        <v>637</v>
      </c>
      <c r="D1" s="28" t="s">
        <v>582</v>
      </c>
      <c r="E1" s="28" t="s">
        <v>584</v>
      </c>
      <c r="F1" s="28" t="s">
        <v>288</v>
      </c>
      <c r="G1" s="28" t="s">
        <v>257</v>
      </c>
      <c r="H1" s="28" t="s">
        <v>585</v>
      </c>
      <c r="I1" s="28" t="s">
        <v>17</v>
      </c>
      <c r="J1" s="74" t="s">
        <v>1863</v>
      </c>
      <c r="K1" s="28" t="s">
        <v>1864</v>
      </c>
      <c r="L1" s="28" t="s">
        <v>1865</v>
      </c>
      <c r="M1" s="28" t="s">
        <v>1866</v>
      </c>
      <c r="N1" s="28" t="s">
        <v>1867</v>
      </c>
      <c r="O1" s="74" t="s">
        <v>1868</v>
      </c>
      <c r="P1" s="28" t="s">
        <v>1869</v>
      </c>
    </row>
    <row r="2" spans="1:16" ht="37.5" customHeight="1" x14ac:dyDescent="0.2">
      <c r="A2" s="24" t="s">
        <v>1870</v>
      </c>
      <c r="B2" s="27"/>
      <c r="C2" s="63">
        <f>472186/1.25</f>
        <v>377748.8</v>
      </c>
      <c r="D2" s="31"/>
      <c r="E2" s="31"/>
      <c r="F2" s="31">
        <v>1.25</v>
      </c>
      <c r="G2" s="31">
        <v>1.3</v>
      </c>
      <c r="H2" s="31"/>
      <c r="I2" s="52">
        <f t="shared" ref="I2:I7" si="0">PRODUCT(C2:H2)</f>
        <v>613841.80000000005</v>
      </c>
      <c r="J2" s="75">
        <v>0</v>
      </c>
      <c r="K2" s="31">
        <v>0</v>
      </c>
      <c r="L2" s="31">
        <v>0.81599999999999995</v>
      </c>
      <c r="M2" s="31">
        <f t="shared" ref="M2:M82" si="1">SUM(J2:L2)</f>
        <v>0.81599999999999995</v>
      </c>
      <c r="N2" s="31">
        <f t="shared" ref="N2:N4" si="2">M2</f>
        <v>0.81599999999999995</v>
      </c>
      <c r="O2" s="63">
        <f t="shared" ref="O2:O82" si="3">I2/M2</f>
        <v>752257.10784313735</v>
      </c>
      <c r="P2" s="52">
        <f t="shared" ref="P2:P82" si="4">I2/N2</f>
        <v>752257.10784313735</v>
      </c>
    </row>
    <row r="3" spans="1:16" ht="37.5" customHeight="1" x14ac:dyDescent="0.2">
      <c r="A3" s="24" t="s">
        <v>1871</v>
      </c>
      <c r="B3" s="27"/>
      <c r="C3" s="63">
        <v>217355</v>
      </c>
      <c r="D3" s="31"/>
      <c r="E3" s="31">
        <v>1.22</v>
      </c>
      <c r="F3" s="31">
        <v>1.35</v>
      </c>
      <c r="G3" s="31">
        <v>1.3</v>
      </c>
      <c r="H3" s="31"/>
      <c r="I3" s="52">
        <f t="shared" si="0"/>
        <v>465378.7905</v>
      </c>
      <c r="J3" s="75">
        <v>0.35</v>
      </c>
      <c r="K3" s="31">
        <v>0</v>
      </c>
      <c r="L3" s="31">
        <v>0.316</v>
      </c>
      <c r="M3" s="31">
        <f t="shared" si="1"/>
        <v>0.66599999999999993</v>
      </c>
      <c r="N3" s="31">
        <f t="shared" si="2"/>
        <v>0.66599999999999993</v>
      </c>
      <c r="O3" s="63">
        <f t="shared" si="3"/>
        <v>698766.95270270284</v>
      </c>
      <c r="P3" s="52">
        <f t="shared" si="4"/>
        <v>698766.95270270284</v>
      </c>
    </row>
    <row r="4" spans="1:16" ht="37.5" customHeight="1" x14ac:dyDescent="0.2">
      <c r="A4" s="24" t="s">
        <v>1872</v>
      </c>
      <c r="B4" s="27"/>
      <c r="C4" s="63">
        <v>136409</v>
      </c>
      <c r="D4" s="31"/>
      <c r="E4" s="31">
        <v>1.1000000000000001</v>
      </c>
      <c r="F4" s="31">
        <v>1.35</v>
      </c>
      <c r="G4" s="31">
        <v>1.3</v>
      </c>
      <c r="H4" s="31"/>
      <c r="I4" s="52">
        <f t="shared" si="0"/>
        <v>263337.57450000005</v>
      </c>
      <c r="J4" s="75">
        <v>0.216</v>
      </c>
      <c r="K4" s="31">
        <v>0</v>
      </c>
      <c r="L4" s="31">
        <v>0.25</v>
      </c>
      <c r="M4" s="31">
        <f t="shared" si="1"/>
        <v>0.46599999999999997</v>
      </c>
      <c r="N4" s="31">
        <f t="shared" si="2"/>
        <v>0.46599999999999997</v>
      </c>
      <c r="O4" s="63">
        <f t="shared" si="3"/>
        <v>565102.09120171692</v>
      </c>
      <c r="P4" s="52">
        <f t="shared" si="4"/>
        <v>565102.09120171692</v>
      </c>
    </row>
    <row r="5" spans="1:16" ht="37.5" customHeight="1" x14ac:dyDescent="0.2">
      <c r="A5" s="24" t="s">
        <v>1873</v>
      </c>
      <c r="B5" s="27"/>
      <c r="C5" s="63">
        <v>566782</v>
      </c>
      <c r="D5" s="31"/>
      <c r="E5" s="31"/>
      <c r="F5" s="31"/>
      <c r="G5" s="31">
        <v>1.3</v>
      </c>
      <c r="H5" s="31"/>
      <c r="I5" s="52">
        <f t="shared" si="0"/>
        <v>736816.6</v>
      </c>
      <c r="J5" s="75">
        <v>0</v>
      </c>
      <c r="K5" s="31">
        <v>1.9</v>
      </c>
      <c r="L5" s="31">
        <v>0</v>
      </c>
      <c r="M5" s="31">
        <f t="shared" si="1"/>
        <v>1.9</v>
      </c>
      <c r="N5" s="31">
        <v>1.9</v>
      </c>
      <c r="O5" s="63">
        <f t="shared" si="3"/>
        <v>387798.21052631579</v>
      </c>
      <c r="P5" s="52">
        <f t="shared" si="4"/>
        <v>387798.21052631579</v>
      </c>
    </row>
    <row r="6" spans="1:16" ht="37.5" customHeight="1" x14ac:dyDescent="0.2">
      <c r="A6" s="24" t="s">
        <v>1874</v>
      </c>
      <c r="B6" s="27"/>
      <c r="C6" s="63">
        <f>472186/1.25</f>
        <v>377748.8</v>
      </c>
      <c r="D6" s="31"/>
      <c r="E6" s="31"/>
      <c r="F6" s="31">
        <v>1.25</v>
      </c>
      <c r="G6" s="31">
        <v>1.3</v>
      </c>
      <c r="H6" s="31"/>
      <c r="I6" s="52">
        <f t="shared" si="0"/>
        <v>613841.80000000005</v>
      </c>
      <c r="J6" s="75">
        <v>1.216</v>
      </c>
      <c r="K6" s="31">
        <v>0</v>
      </c>
      <c r="L6" s="31">
        <v>0.81599999999999995</v>
      </c>
      <c r="M6" s="31">
        <f t="shared" si="1"/>
        <v>2.032</v>
      </c>
      <c r="N6" s="31">
        <f t="shared" ref="N6:N9" si="5">M6</f>
        <v>2.032</v>
      </c>
      <c r="O6" s="63">
        <f t="shared" si="3"/>
        <v>302087.5</v>
      </c>
      <c r="P6" s="52">
        <f t="shared" si="4"/>
        <v>302087.5</v>
      </c>
    </row>
    <row r="7" spans="1:16" ht="37.5" customHeight="1" x14ac:dyDescent="0.2">
      <c r="A7" s="24" t="s">
        <v>1875</v>
      </c>
      <c r="B7" s="27"/>
      <c r="C7" s="63">
        <v>299801</v>
      </c>
      <c r="D7" s="31"/>
      <c r="E7" s="31">
        <v>1.22</v>
      </c>
      <c r="F7" s="31">
        <v>1.35</v>
      </c>
      <c r="G7" s="31">
        <v>1.3</v>
      </c>
      <c r="H7" s="31"/>
      <c r="I7" s="52">
        <f t="shared" si="0"/>
        <v>641903.92110000004</v>
      </c>
      <c r="J7" s="75">
        <v>0.35</v>
      </c>
      <c r="K7" s="31">
        <v>1.25</v>
      </c>
      <c r="L7" s="31">
        <v>0.25</v>
      </c>
      <c r="M7" s="31">
        <f t="shared" si="1"/>
        <v>1.85</v>
      </c>
      <c r="N7" s="31">
        <f t="shared" si="5"/>
        <v>1.85</v>
      </c>
      <c r="O7" s="63">
        <f t="shared" si="3"/>
        <v>346975.09248648648</v>
      </c>
      <c r="P7" s="52">
        <f t="shared" si="4"/>
        <v>346975.09248648648</v>
      </c>
    </row>
    <row r="8" spans="1:16" ht="37.5" customHeight="1" x14ac:dyDescent="0.2">
      <c r="A8" s="24" t="s">
        <v>1876</v>
      </c>
      <c r="B8" s="76"/>
      <c r="C8" s="63">
        <f>169639*2</f>
        <v>339278</v>
      </c>
      <c r="D8" s="31"/>
      <c r="E8" s="31"/>
      <c r="F8" s="31"/>
      <c r="G8" s="31">
        <v>1.3</v>
      </c>
      <c r="H8" s="31"/>
      <c r="I8" s="52">
        <f t="shared" ref="I8:I9" si="6">PRODUCT(C8:H8)+59347/1.15</f>
        <v>492667.48695652175</v>
      </c>
      <c r="J8" s="75">
        <v>0.216</v>
      </c>
      <c r="K8" s="31">
        <v>1.0660000000000001</v>
      </c>
      <c r="L8" s="31">
        <v>0.28299999999999997</v>
      </c>
      <c r="M8" s="31">
        <f t="shared" si="1"/>
        <v>1.5649999999999999</v>
      </c>
      <c r="N8" s="31">
        <f t="shared" si="5"/>
        <v>1.5649999999999999</v>
      </c>
      <c r="O8" s="63">
        <f t="shared" si="3"/>
        <v>314803.50604250591</v>
      </c>
      <c r="P8" s="52">
        <f t="shared" si="4"/>
        <v>314803.50604250591</v>
      </c>
    </row>
    <row r="9" spans="1:16" ht="37.5" customHeight="1" x14ac:dyDescent="0.2">
      <c r="A9" s="24" t="s">
        <v>1877</v>
      </c>
      <c r="B9" s="76"/>
      <c r="C9" s="63">
        <v>169639</v>
      </c>
      <c r="D9" s="31"/>
      <c r="E9" s="31"/>
      <c r="F9" s="31"/>
      <c r="G9" s="31">
        <v>1.3</v>
      </c>
      <c r="H9" s="31"/>
      <c r="I9" s="52">
        <f t="shared" si="6"/>
        <v>272136.78695652174</v>
      </c>
      <c r="J9" s="75">
        <v>0.216</v>
      </c>
      <c r="K9" s="31">
        <v>0.41599999999999998</v>
      </c>
      <c r="L9" s="31">
        <v>0.45</v>
      </c>
      <c r="M9" s="31">
        <f t="shared" si="1"/>
        <v>1.0820000000000001</v>
      </c>
      <c r="N9" s="31">
        <f t="shared" si="5"/>
        <v>1.0820000000000001</v>
      </c>
      <c r="O9" s="63">
        <f t="shared" si="3"/>
        <v>251512.74210399418</v>
      </c>
      <c r="P9" s="52">
        <f t="shared" si="4"/>
        <v>251512.74210399418</v>
      </c>
    </row>
    <row r="10" spans="1:16" ht="37.5" customHeight="1" x14ac:dyDescent="0.2">
      <c r="A10" s="24" t="s">
        <v>1878</v>
      </c>
      <c r="B10" s="27"/>
      <c r="C10" s="63">
        <f>26534*13</f>
        <v>344942</v>
      </c>
      <c r="D10" s="31">
        <v>1.47</v>
      </c>
      <c r="E10" s="31">
        <v>1.22</v>
      </c>
      <c r="F10" s="31">
        <v>1.35</v>
      </c>
      <c r="G10" s="31">
        <v>1.3</v>
      </c>
      <c r="H10" s="31">
        <v>1.0777000000000001</v>
      </c>
      <c r="I10" s="52">
        <f t="shared" ref="I10:I55" si="7">PRODUCT(C10:H10)</f>
        <v>1170033.3644750481</v>
      </c>
      <c r="J10" s="75">
        <v>0.3</v>
      </c>
      <c r="K10" s="31">
        <f>1.616/5*13</f>
        <v>4.2016000000000009</v>
      </c>
      <c r="L10" s="31">
        <v>0.33300000000000002</v>
      </c>
      <c r="M10" s="31">
        <f t="shared" si="1"/>
        <v>4.8346000000000009</v>
      </c>
      <c r="N10" s="31">
        <f>J10+K10+0.333</f>
        <v>4.8346000000000009</v>
      </c>
      <c r="O10" s="63">
        <f t="shared" si="3"/>
        <v>242012.44456109047</v>
      </c>
      <c r="P10" s="52">
        <f t="shared" si="4"/>
        <v>242012.44456109047</v>
      </c>
    </row>
    <row r="11" spans="1:16" ht="37.5" customHeight="1" x14ac:dyDescent="0.2">
      <c r="A11" s="24" t="s">
        <v>1879</v>
      </c>
      <c r="B11" s="27"/>
      <c r="C11" s="63">
        <v>138585</v>
      </c>
      <c r="D11" s="31"/>
      <c r="E11" s="31">
        <v>1.22</v>
      </c>
      <c r="F11" s="31">
        <v>1.35</v>
      </c>
      <c r="G11" s="31">
        <v>1.3</v>
      </c>
      <c r="H11" s="31"/>
      <c r="I11" s="52">
        <f t="shared" si="7"/>
        <v>296724.34350000002</v>
      </c>
      <c r="J11" s="75">
        <v>0.216</v>
      </c>
      <c r="K11" s="31">
        <v>0.61599999999999999</v>
      </c>
      <c r="L11" s="31">
        <v>0.4</v>
      </c>
      <c r="M11" s="31">
        <f t="shared" si="1"/>
        <v>1.232</v>
      </c>
      <c r="N11" s="31">
        <f t="shared" ref="N11:N12" si="8">M11</f>
        <v>1.232</v>
      </c>
      <c r="O11" s="63">
        <f t="shared" si="3"/>
        <v>240847.68141233767</v>
      </c>
      <c r="P11" s="52">
        <f t="shared" si="4"/>
        <v>240847.68141233767</v>
      </c>
    </row>
    <row r="12" spans="1:16" ht="37.5" customHeight="1" x14ac:dyDescent="0.2">
      <c r="A12" s="24" t="s">
        <v>226</v>
      </c>
      <c r="B12" s="27"/>
      <c r="C12" s="63">
        <v>74154</v>
      </c>
      <c r="D12" s="31"/>
      <c r="E12" s="31">
        <v>1.17</v>
      </c>
      <c r="F12" s="31">
        <v>1.35</v>
      </c>
      <c r="G12" s="31">
        <v>1.3</v>
      </c>
      <c r="H12" s="31"/>
      <c r="I12" s="52">
        <f t="shared" si="7"/>
        <v>152264.1159</v>
      </c>
      <c r="J12" s="75">
        <v>0.35</v>
      </c>
      <c r="K12" s="31">
        <v>0</v>
      </c>
      <c r="L12" s="31">
        <v>0.316</v>
      </c>
      <c r="M12" s="31">
        <f t="shared" si="1"/>
        <v>0.66599999999999993</v>
      </c>
      <c r="N12" s="31">
        <f t="shared" si="8"/>
        <v>0.66599999999999993</v>
      </c>
      <c r="O12" s="63">
        <f t="shared" si="3"/>
        <v>228624.79864864869</v>
      </c>
      <c r="P12" s="52">
        <f t="shared" si="4"/>
        <v>228624.79864864869</v>
      </c>
    </row>
    <row r="13" spans="1:16" ht="37.5" customHeight="1" x14ac:dyDescent="0.2">
      <c r="A13" s="24" t="s">
        <v>1880</v>
      </c>
      <c r="B13" s="27"/>
      <c r="C13" s="63">
        <f>95924*4</f>
        <v>383696</v>
      </c>
      <c r="D13" s="31">
        <f>1.289</f>
        <v>1.2889999999999999</v>
      </c>
      <c r="E13" s="31">
        <v>1.25</v>
      </c>
      <c r="F13" s="31">
        <v>1.35</v>
      </c>
      <c r="G13" s="31">
        <v>1.3</v>
      </c>
      <c r="H13" s="31">
        <v>1.0777000000000001</v>
      </c>
      <c r="I13" s="52">
        <f t="shared" si="7"/>
        <v>1169297.9970504302</v>
      </c>
      <c r="J13" s="75">
        <v>0.23300000000000001</v>
      </c>
      <c r="K13" s="31">
        <f>1.083*3</f>
        <v>3.2489999999999997</v>
      </c>
      <c r="L13" s="31">
        <v>0.4</v>
      </c>
      <c r="M13" s="31">
        <f t="shared" si="1"/>
        <v>3.8819999999999997</v>
      </c>
      <c r="N13" s="31">
        <f>J13+K13+2</f>
        <v>5.4819999999999993</v>
      </c>
      <c r="O13" s="63">
        <f t="shared" si="3"/>
        <v>301210.2001675503</v>
      </c>
      <c r="P13" s="52">
        <f t="shared" si="4"/>
        <v>213297.70103072425</v>
      </c>
    </row>
    <row r="14" spans="1:16" ht="37.5" customHeight="1" x14ac:dyDescent="0.2">
      <c r="A14" s="24" t="s">
        <v>1881</v>
      </c>
      <c r="B14" s="27"/>
      <c r="C14" s="63">
        <f>33003*6</f>
        <v>198018</v>
      </c>
      <c r="D14" s="31"/>
      <c r="E14" s="31">
        <v>1.22</v>
      </c>
      <c r="F14" s="31">
        <v>1.35</v>
      </c>
      <c r="G14" s="31">
        <v>1.3</v>
      </c>
      <c r="H14" s="31">
        <v>1.0777000000000001</v>
      </c>
      <c r="I14" s="52">
        <f t="shared" si="7"/>
        <v>456919.30140246009</v>
      </c>
      <c r="J14" s="75">
        <v>0.28299999999999997</v>
      </c>
      <c r="K14" s="31">
        <v>1.5329999999999999</v>
      </c>
      <c r="L14" s="31">
        <v>0.316</v>
      </c>
      <c r="M14" s="31">
        <f t="shared" si="1"/>
        <v>2.1319999999999997</v>
      </c>
      <c r="N14" s="31">
        <f t="shared" ref="N14:N16" si="9">J14+K14+0.333</f>
        <v>2.149</v>
      </c>
      <c r="O14" s="63">
        <f t="shared" si="3"/>
        <v>214314.86932573179</v>
      </c>
      <c r="P14" s="52">
        <f t="shared" si="4"/>
        <v>212619.49809328062</v>
      </c>
    </row>
    <row r="15" spans="1:16" ht="37.5" customHeight="1" x14ac:dyDescent="0.2">
      <c r="A15" s="24" t="s">
        <v>1882</v>
      </c>
      <c r="B15" s="27"/>
      <c r="C15" s="63">
        <f>33003*9</f>
        <v>297027</v>
      </c>
      <c r="D15" s="31"/>
      <c r="E15" s="31">
        <v>1.22</v>
      </c>
      <c r="F15" s="31">
        <v>1.35</v>
      </c>
      <c r="G15" s="31">
        <v>1.3</v>
      </c>
      <c r="H15" s="31">
        <v>1.0777000000000001</v>
      </c>
      <c r="I15" s="52">
        <f t="shared" si="7"/>
        <v>685378.95210369013</v>
      </c>
      <c r="J15" s="75">
        <v>0.183</v>
      </c>
      <c r="K15" s="31">
        <f>0.3066*9</f>
        <v>2.7593999999999999</v>
      </c>
      <c r="L15" s="31">
        <v>0.33300000000000002</v>
      </c>
      <c r="M15" s="31">
        <f t="shared" si="1"/>
        <v>3.2753999999999999</v>
      </c>
      <c r="N15" s="31">
        <f t="shared" si="9"/>
        <v>3.2753999999999999</v>
      </c>
      <c r="O15" s="63">
        <f t="shared" si="3"/>
        <v>209250.45860160291</v>
      </c>
      <c r="P15" s="52">
        <f t="shared" si="4"/>
        <v>209250.45860160291</v>
      </c>
    </row>
    <row r="16" spans="1:16" ht="37.5" customHeight="1" x14ac:dyDescent="0.2">
      <c r="A16" s="24" t="s">
        <v>1883</v>
      </c>
      <c r="B16" s="27"/>
      <c r="C16" s="63">
        <f>33003*5</f>
        <v>165015</v>
      </c>
      <c r="D16" s="31">
        <v>1.4379999999999999</v>
      </c>
      <c r="E16" s="31">
        <v>1.22</v>
      </c>
      <c r="F16" s="31">
        <v>1.35</v>
      </c>
      <c r="G16" s="31">
        <v>1.3</v>
      </c>
      <c r="H16" s="31">
        <v>1.0777000000000001</v>
      </c>
      <c r="I16" s="52">
        <f t="shared" si="7"/>
        <v>547541.62951394788</v>
      </c>
      <c r="J16" s="75">
        <v>0.28299999999999997</v>
      </c>
      <c r="K16" s="31">
        <v>2.0329999999999999</v>
      </c>
      <c r="L16" s="31">
        <v>0.33300000000000002</v>
      </c>
      <c r="M16" s="31">
        <f t="shared" si="1"/>
        <v>2.649</v>
      </c>
      <c r="N16" s="31">
        <f t="shared" si="9"/>
        <v>2.649</v>
      </c>
      <c r="O16" s="63">
        <f t="shared" si="3"/>
        <v>206697.48188522004</v>
      </c>
      <c r="P16" s="52">
        <f t="shared" si="4"/>
        <v>206697.48188522004</v>
      </c>
    </row>
    <row r="17" spans="1:16" ht="37.5" customHeight="1" x14ac:dyDescent="0.2">
      <c r="A17" s="24" t="s">
        <v>560</v>
      </c>
      <c r="B17" s="27"/>
      <c r="C17" s="63">
        <v>406386</v>
      </c>
      <c r="D17" s="31"/>
      <c r="E17" s="31"/>
      <c r="F17" s="31"/>
      <c r="G17" s="31">
        <v>1.3</v>
      </c>
      <c r="H17" s="31"/>
      <c r="I17" s="52">
        <f t="shared" si="7"/>
        <v>528301.80000000005</v>
      </c>
      <c r="J17" s="75">
        <v>0</v>
      </c>
      <c r="K17" s="31">
        <v>1.7829999999999999</v>
      </c>
      <c r="L17" s="31">
        <v>0</v>
      </c>
      <c r="M17" s="31">
        <f t="shared" si="1"/>
        <v>1.7829999999999999</v>
      </c>
      <c r="N17" s="31">
        <v>2.6</v>
      </c>
      <c r="O17" s="63">
        <f t="shared" si="3"/>
        <v>296299.3830622547</v>
      </c>
      <c r="P17" s="52">
        <f t="shared" si="4"/>
        <v>203193</v>
      </c>
    </row>
    <row r="18" spans="1:16" ht="37.5" customHeight="1" x14ac:dyDescent="0.2">
      <c r="A18" s="24" t="s">
        <v>1884</v>
      </c>
      <c r="B18" s="27"/>
      <c r="C18" s="63">
        <f>33003*15</f>
        <v>495045</v>
      </c>
      <c r="D18" s="31">
        <v>1.35</v>
      </c>
      <c r="E18" s="31">
        <v>1.22</v>
      </c>
      <c r="F18" s="31">
        <v>1.35</v>
      </c>
      <c r="G18" s="31">
        <v>1.3</v>
      </c>
      <c r="H18" s="31">
        <v>1.0777000000000001</v>
      </c>
      <c r="I18" s="52">
        <f t="shared" si="7"/>
        <v>1542102.6422333026</v>
      </c>
      <c r="J18" s="75">
        <v>0.183</v>
      </c>
      <c r="K18" s="31">
        <f>0.50825*14</f>
        <v>7.1154999999999999</v>
      </c>
      <c r="L18" s="31">
        <v>0.33300000000000002</v>
      </c>
      <c r="M18" s="31">
        <f t="shared" si="1"/>
        <v>7.6315</v>
      </c>
      <c r="N18" s="31">
        <f>J18+K18+0.333</f>
        <v>7.6315</v>
      </c>
      <c r="O18" s="63">
        <f t="shared" si="3"/>
        <v>202070.71247242385</v>
      </c>
      <c r="P18" s="52">
        <f t="shared" si="4"/>
        <v>202070.71247242385</v>
      </c>
    </row>
    <row r="19" spans="1:16" ht="37.5" customHeight="1" x14ac:dyDescent="0.2">
      <c r="A19" s="24" t="s">
        <v>1885</v>
      </c>
      <c r="B19" s="27"/>
      <c r="C19" s="63">
        <f t="shared" ref="C19:C22" si="10">95924*3</f>
        <v>287772</v>
      </c>
      <c r="D19" s="31">
        <f>1.289</f>
        <v>1.2889999999999999</v>
      </c>
      <c r="E19" s="31">
        <v>1.25</v>
      </c>
      <c r="F19" s="31">
        <v>1.35</v>
      </c>
      <c r="G19" s="31">
        <v>1.3</v>
      </c>
      <c r="H19" s="31">
        <v>1.0777000000000001</v>
      </c>
      <c r="I19" s="52">
        <f t="shared" si="7"/>
        <v>876973.49778782262</v>
      </c>
      <c r="J19" s="75">
        <v>0.23300000000000001</v>
      </c>
      <c r="K19" s="31">
        <v>2.3330000000000002</v>
      </c>
      <c r="L19" s="31">
        <v>0.4</v>
      </c>
      <c r="M19" s="31">
        <f t="shared" si="1"/>
        <v>2.9660000000000002</v>
      </c>
      <c r="N19" s="31">
        <f t="shared" ref="N19:N22" si="11">J19+K19+2</f>
        <v>4.5660000000000007</v>
      </c>
      <c r="O19" s="63">
        <f t="shared" si="3"/>
        <v>295675.48812805885</v>
      </c>
      <c r="P19" s="52">
        <f t="shared" si="4"/>
        <v>192066.03105296157</v>
      </c>
    </row>
    <row r="20" spans="1:16" ht="37.5" customHeight="1" x14ac:dyDescent="0.2">
      <c r="A20" s="24" t="s">
        <v>1886</v>
      </c>
      <c r="B20" s="27"/>
      <c r="C20" s="63">
        <f t="shared" si="10"/>
        <v>287772</v>
      </c>
      <c r="D20" s="31">
        <v>1.2889999999999999</v>
      </c>
      <c r="E20" s="31">
        <v>1.22</v>
      </c>
      <c r="F20" s="31">
        <v>1.35</v>
      </c>
      <c r="G20" s="31">
        <v>1.3</v>
      </c>
      <c r="H20" s="31">
        <v>1.0777000000000001</v>
      </c>
      <c r="I20" s="52">
        <f t="shared" si="7"/>
        <v>855926.13384091493</v>
      </c>
      <c r="J20" s="75">
        <v>0.183</v>
      </c>
      <c r="K20" s="31">
        <v>2.3660000000000001</v>
      </c>
      <c r="L20" s="31">
        <v>0.33300000000000002</v>
      </c>
      <c r="M20" s="31">
        <f t="shared" si="1"/>
        <v>2.8820000000000001</v>
      </c>
      <c r="N20" s="31">
        <f t="shared" si="11"/>
        <v>4.5489999999999995</v>
      </c>
      <c r="O20" s="63">
        <f t="shared" si="3"/>
        <v>296990.33096492535</v>
      </c>
      <c r="P20" s="52">
        <f t="shared" si="4"/>
        <v>188156.9869951451</v>
      </c>
    </row>
    <row r="21" spans="1:16" ht="37.5" customHeight="1" x14ac:dyDescent="0.2">
      <c r="A21" s="24" t="s">
        <v>1887</v>
      </c>
      <c r="B21" s="27"/>
      <c r="C21" s="63">
        <f t="shared" si="10"/>
        <v>287772</v>
      </c>
      <c r="D21" s="31">
        <v>1.2889999999999999</v>
      </c>
      <c r="E21" s="31">
        <v>1.22</v>
      </c>
      <c r="F21" s="31">
        <v>1.35</v>
      </c>
      <c r="G21" s="31">
        <v>1.3</v>
      </c>
      <c r="H21" s="31">
        <v>1.0777000000000001</v>
      </c>
      <c r="I21" s="52">
        <f t="shared" si="7"/>
        <v>855926.13384091493</v>
      </c>
      <c r="J21" s="75">
        <v>0.183</v>
      </c>
      <c r="K21" s="31">
        <v>2.383</v>
      </c>
      <c r="L21" s="31">
        <v>0.33300000000000002</v>
      </c>
      <c r="M21" s="31">
        <f t="shared" si="1"/>
        <v>2.899</v>
      </c>
      <c r="N21" s="31">
        <f t="shared" si="11"/>
        <v>4.5659999999999998</v>
      </c>
      <c r="O21" s="63">
        <f t="shared" si="3"/>
        <v>295248.75261845981</v>
      </c>
      <c r="P21" s="52">
        <f t="shared" si="4"/>
        <v>187456.44630769052</v>
      </c>
    </row>
    <row r="22" spans="1:16" ht="37.5" customHeight="1" x14ac:dyDescent="0.2">
      <c r="A22" s="24" t="s">
        <v>1888</v>
      </c>
      <c r="B22" s="27"/>
      <c r="C22" s="63">
        <f t="shared" si="10"/>
        <v>287772</v>
      </c>
      <c r="D22" s="31">
        <f>1.289</f>
        <v>1.2889999999999999</v>
      </c>
      <c r="E22" s="31">
        <v>1.25</v>
      </c>
      <c r="F22" s="31">
        <v>1.35</v>
      </c>
      <c r="G22" s="31">
        <v>1.3</v>
      </c>
      <c r="H22" s="31">
        <v>1.0777000000000001</v>
      </c>
      <c r="I22" s="52">
        <f t="shared" si="7"/>
        <v>876973.49778782262</v>
      </c>
      <c r="J22" s="75">
        <v>0.23300000000000001</v>
      </c>
      <c r="K22" s="31">
        <v>2.4830000000000001</v>
      </c>
      <c r="L22" s="31">
        <v>0.4</v>
      </c>
      <c r="M22" s="31">
        <f t="shared" si="1"/>
        <v>3.1160000000000001</v>
      </c>
      <c r="N22" s="31">
        <f t="shared" si="11"/>
        <v>4.7160000000000002</v>
      </c>
      <c r="O22" s="63">
        <f t="shared" si="3"/>
        <v>281442.07246079028</v>
      </c>
      <c r="P22" s="52">
        <f t="shared" si="4"/>
        <v>185957.0605996231</v>
      </c>
    </row>
    <row r="23" spans="1:16" ht="37.5" customHeight="1" x14ac:dyDescent="0.2">
      <c r="A23" s="24" t="s">
        <v>1889</v>
      </c>
      <c r="B23" s="27"/>
      <c r="C23" s="63">
        <v>461370</v>
      </c>
      <c r="D23" s="31"/>
      <c r="E23" s="31"/>
      <c r="F23" s="31"/>
      <c r="G23" s="31">
        <v>1.3</v>
      </c>
      <c r="H23" s="31"/>
      <c r="I23" s="52">
        <f t="shared" si="7"/>
        <v>599781</v>
      </c>
      <c r="J23" s="75">
        <v>1.216</v>
      </c>
      <c r="K23" s="31">
        <v>1.2</v>
      </c>
      <c r="L23" s="31">
        <v>0.81599999999999995</v>
      </c>
      <c r="M23" s="31">
        <f t="shared" si="1"/>
        <v>3.2319999999999998</v>
      </c>
      <c r="N23" s="31">
        <f>M23</f>
        <v>3.2319999999999998</v>
      </c>
      <c r="O23" s="63">
        <f t="shared" si="3"/>
        <v>185575.80445544556</v>
      </c>
      <c r="P23" s="52">
        <f t="shared" si="4"/>
        <v>185575.80445544556</v>
      </c>
    </row>
    <row r="24" spans="1:16" ht="37.5" customHeight="1" x14ac:dyDescent="0.2">
      <c r="A24" s="24" t="s">
        <v>1890</v>
      </c>
      <c r="B24" s="27"/>
      <c r="C24" s="63">
        <f t="shared" ref="C24:C26" si="12">95924*2</f>
        <v>191848</v>
      </c>
      <c r="D24" s="31">
        <f>1.289</f>
        <v>1.2889999999999999</v>
      </c>
      <c r="E24" s="31">
        <v>1.25</v>
      </c>
      <c r="F24" s="31">
        <v>1.35</v>
      </c>
      <c r="G24" s="31">
        <v>1.3</v>
      </c>
      <c r="H24" s="31">
        <v>1.0777000000000001</v>
      </c>
      <c r="I24" s="52">
        <f t="shared" si="7"/>
        <v>584648.99852521508</v>
      </c>
      <c r="J24" s="75">
        <v>0.23300000000000001</v>
      </c>
      <c r="K24" s="31">
        <v>1.1000000000000001</v>
      </c>
      <c r="L24" s="31">
        <v>0.4</v>
      </c>
      <c r="M24" s="31">
        <f t="shared" si="1"/>
        <v>1.7330000000000001</v>
      </c>
      <c r="N24" s="31">
        <f t="shared" ref="N24:N26" si="13">J24+K24+2</f>
        <v>3.3330000000000002</v>
      </c>
      <c r="O24" s="63">
        <f t="shared" si="3"/>
        <v>337362.37652926432</v>
      </c>
      <c r="P24" s="52">
        <f t="shared" si="4"/>
        <v>175412.24078164267</v>
      </c>
    </row>
    <row r="25" spans="1:16" ht="37.5" customHeight="1" x14ac:dyDescent="0.2">
      <c r="A25" s="24" t="s">
        <v>1891</v>
      </c>
      <c r="B25" s="27"/>
      <c r="C25" s="63">
        <f t="shared" si="12"/>
        <v>191848</v>
      </c>
      <c r="D25" s="31">
        <v>1.2889999999999999</v>
      </c>
      <c r="E25" s="31">
        <v>1.22</v>
      </c>
      <c r="F25" s="31">
        <v>1.35</v>
      </c>
      <c r="G25" s="31">
        <v>1.3</v>
      </c>
      <c r="H25" s="31">
        <v>1.0777000000000001</v>
      </c>
      <c r="I25" s="52">
        <f t="shared" si="7"/>
        <v>570617.42256060988</v>
      </c>
      <c r="J25" s="75">
        <v>0.183</v>
      </c>
      <c r="K25" s="31">
        <v>1.1659999999999999</v>
      </c>
      <c r="L25" s="31">
        <v>0.33300000000000002</v>
      </c>
      <c r="M25" s="31">
        <f t="shared" si="1"/>
        <v>1.6819999999999999</v>
      </c>
      <c r="N25" s="31">
        <f t="shared" si="13"/>
        <v>3.3490000000000002</v>
      </c>
      <c r="O25" s="63">
        <f t="shared" si="3"/>
        <v>339249.35942961351</v>
      </c>
      <c r="P25" s="52">
        <f t="shared" si="4"/>
        <v>170384.41999421015</v>
      </c>
    </row>
    <row r="26" spans="1:16" ht="37.5" customHeight="1" x14ac:dyDescent="0.2">
      <c r="A26" s="24" t="s">
        <v>1892</v>
      </c>
      <c r="B26" s="27"/>
      <c r="C26" s="63">
        <f t="shared" si="12"/>
        <v>191848</v>
      </c>
      <c r="D26" s="31">
        <v>1.2889999999999999</v>
      </c>
      <c r="E26" s="31">
        <v>1.22</v>
      </c>
      <c r="F26" s="31">
        <v>1.35</v>
      </c>
      <c r="G26" s="31">
        <v>1.3</v>
      </c>
      <c r="H26" s="31">
        <v>1.0777000000000001</v>
      </c>
      <c r="I26" s="52">
        <f t="shared" si="7"/>
        <v>570617.42256060988</v>
      </c>
      <c r="J26" s="75">
        <v>0.183</v>
      </c>
      <c r="K26" s="31">
        <v>1.1830000000000001</v>
      </c>
      <c r="L26" s="31">
        <v>0.33300000000000002</v>
      </c>
      <c r="M26" s="31">
        <f t="shared" si="1"/>
        <v>1.6990000000000001</v>
      </c>
      <c r="N26" s="31">
        <f t="shared" si="13"/>
        <v>3.3660000000000001</v>
      </c>
      <c r="O26" s="63">
        <f t="shared" si="3"/>
        <v>335854.86907628598</v>
      </c>
      <c r="P26" s="52">
        <f t="shared" si="4"/>
        <v>169523.89262050204</v>
      </c>
    </row>
    <row r="27" spans="1:16" ht="37.5" customHeight="1" x14ac:dyDescent="0.2">
      <c r="A27" s="24" t="s">
        <v>1893</v>
      </c>
      <c r="B27" s="27"/>
      <c r="C27" s="63">
        <v>362002</v>
      </c>
      <c r="D27" s="31">
        <v>1.5</v>
      </c>
      <c r="E27" s="31">
        <v>1.1000000000000001</v>
      </c>
      <c r="F27" s="31">
        <v>1.35</v>
      </c>
      <c r="G27" s="31">
        <v>1.3</v>
      </c>
      <c r="H27" s="31"/>
      <c r="I27" s="52">
        <f t="shared" si="7"/>
        <v>1048267.2915000002</v>
      </c>
      <c r="J27" s="75">
        <v>8.3000000000000004E-2</v>
      </c>
      <c r="K27" s="31">
        <f>0.349*16</f>
        <v>5.5839999999999996</v>
      </c>
      <c r="L27" s="31">
        <v>0.45</v>
      </c>
      <c r="M27" s="31">
        <f t="shared" si="1"/>
        <v>6.117</v>
      </c>
      <c r="N27" s="31">
        <f>J27+K27+0.566</f>
        <v>6.2329999999999997</v>
      </c>
      <c r="O27" s="63">
        <f t="shared" si="3"/>
        <v>171369.50980872981</v>
      </c>
      <c r="P27" s="52">
        <f t="shared" si="4"/>
        <v>168180.21682977703</v>
      </c>
    </row>
    <row r="28" spans="1:16" ht="37.5" customHeight="1" x14ac:dyDescent="0.2">
      <c r="A28" s="24" t="s">
        <v>1894</v>
      </c>
      <c r="B28" s="27"/>
      <c r="C28" s="63">
        <f>95924*2</f>
        <v>191848</v>
      </c>
      <c r="D28" s="31">
        <f>1.289</f>
        <v>1.2889999999999999</v>
      </c>
      <c r="E28" s="31">
        <v>1.25</v>
      </c>
      <c r="F28" s="31">
        <v>1.35</v>
      </c>
      <c r="G28" s="31">
        <v>1.3</v>
      </c>
      <c r="H28" s="31">
        <v>1.0777000000000001</v>
      </c>
      <c r="I28" s="52">
        <f t="shared" si="7"/>
        <v>584648.99852521508</v>
      </c>
      <c r="J28" s="75">
        <v>0.23300000000000001</v>
      </c>
      <c r="K28" s="31">
        <v>1.4330000000000001</v>
      </c>
      <c r="L28" s="31">
        <v>0.4</v>
      </c>
      <c r="M28" s="31">
        <f t="shared" si="1"/>
        <v>2.0660000000000003</v>
      </c>
      <c r="N28" s="31">
        <f>J28+K28+2</f>
        <v>3.6660000000000004</v>
      </c>
      <c r="O28" s="63">
        <f t="shared" si="3"/>
        <v>282985.96250010404</v>
      </c>
      <c r="P28" s="52">
        <f t="shared" si="4"/>
        <v>159478.72300196809</v>
      </c>
    </row>
    <row r="29" spans="1:16" ht="37.5" customHeight="1" x14ac:dyDescent="0.2">
      <c r="A29" s="24" t="s">
        <v>1895</v>
      </c>
      <c r="B29" s="27"/>
      <c r="C29" s="63">
        <v>339278</v>
      </c>
      <c r="D29" s="31">
        <v>1.2</v>
      </c>
      <c r="E29" s="31">
        <v>1.22</v>
      </c>
      <c r="F29" s="31">
        <v>1.35</v>
      </c>
      <c r="G29" s="31">
        <v>1.3</v>
      </c>
      <c r="H29" s="31">
        <v>1.0777000000000001</v>
      </c>
      <c r="I29" s="52">
        <f t="shared" si="7"/>
        <v>939445.90940959204</v>
      </c>
      <c r="J29" s="75">
        <v>0.1</v>
      </c>
      <c r="K29" s="31">
        <f>0.464*12</f>
        <v>5.5680000000000005</v>
      </c>
      <c r="L29" s="31">
        <v>0.28299999999999997</v>
      </c>
      <c r="M29" s="31">
        <f t="shared" si="1"/>
        <v>5.9510000000000005</v>
      </c>
      <c r="N29" s="31">
        <f>M29</f>
        <v>5.9510000000000005</v>
      </c>
      <c r="O29" s="63">
        <f t="shared" si="3"/>
        <v>157863.53712142361</v>
      </c>
      <c r="P29" s="52">
        <f t="shared" si="4"/>
        <v>157863.53712142361</v>
      </c>
    </row>
    <row r="30" spans="1:16" ht="37.5" customHeight="1" x14ac:dyDescent="0.2">
      <c r="A30" s="24" t="s">
        <v>1896</v>
      </c>
      <c r="B30" s="27"/>
      <c r="C30" s="63">
        <f>95924*2</f>
        <v>191848</v>
      </c>
      <c r="D30" s="31">
        <v>1.2889999999999999</v>
      </c>
      <c r="E30" s="31">
        <v>1.22</v>
      </c>
      <c r="F30" s="31">
        <v>1.35</v>
      </c>
      <c r="G30" s="31">
        <v>1.3</v>
      </c>
      <c r="H30" s="31">
        <v>1.0777000000000001</v>
      </c>
      <c r="I30" s="52">
        <f t="shared" si="7"/>
        <v>570617.42256060988</v>
      </c>
      <c r="J30" s="75">
        <v>0.183</v>
      </c>
      <c r="K30" s="31">
        <v>1.4330000000000001</v>
      </c>
      <c r="L30" s="31">
        <v>0.33300000000000002</v>
      </c>
      <c r="M30" s="31">
        <f t="shared" si="1"/>
        <v>1.9490000000000001</v>
      </c>
      <c r="N30" s="31">
        <f>J30+K30+2</f>
        <v>3.6160000000000001</v>
      </c>
      <c r="O30" s="63">
        <f t="shared" si="3"/>
        <v>292774.46001057461</v>
      </c>
      <c r="P30" s="52">
        <f t="shared" si="4"/>
        <v>157803.49075238104</v>
      </c>
    </row>
    <row r="31" spans="1:16" ht="37.5" customHeight="1" x14ac:dyDescent="0.2">
      <c r="A31" s="24" t="s">
        <v>1897</v>
      </c>
      <c r="B31" s="27"/>
      <c r="C31" s="63">
        <v>136409</v>
      </c>
      <c r="D31" s="31"/>
      <c r="E31" s="31">
        <v>1.1000000000000001</v>
      </c>
      <c r="F31" s="31">
        <v>1.35</v>
      </c>
      <c r="G31" s="31">
        <v>1.3</v>
      </c>
      <c r="H31" s="31"/>
      <c r="I31" s="52">
        <f t="shared" si="7"/>
        <v>263337.57450000005</v>
      </c>
      <c r="J31" s="75">
        <v>0.216</v>
      </c>
      <c r="K31" s="31">
        <v>0</v>
      </c>
      <c r="L31" s="31">
        <v>1.466</v>
      </c>
      <c r="M31" s="31">
        <f t="shared" si="1"/>
        <v>1.6819999999999999</v>
      </c>
      <c r="N31" s="31">
        <f t="shared" ref="N31:N35" si="14">M31</f>
        <v>1.6819999999999999</v>
      </c>
      <c r="O31" s="63">
        <f t="shared" si="3"/>
        <v>156562.17271105829</v>
      </c>
      <c r="P31" s="52">
        <f t="shared" si="4"/>
        <v>156562.17271105829</v>
      </c>
    </row>
    <row r="32" spans="1:16" ht="37.5" customHeight="1" x14ac:dyDescent="0.2">
      <c r="A32" s="24" t="s">
        <v>1898</v>
      </c>
      <c r="B32" s="27"/>
      <c r="C32" s="63">
        <f>27149*1.15</f>
        <v>31221.35</v>
      </c>
      <c r="D32" s="31">
        <v>1.1499999999999999</v>
      </c>
      <c r="E32" s="31"/>
      <c r="F32" s="31">
        <v>1.35</v>
      </c>
      <c r="G32" s="31">
        <v>1.3</v>
      </c>
      <c r="H32" s="31">
        <v>1.0777000000000001</v>
      </c>
      <c r="I32" s="52">
        <f t="shared" si="7"/>
        <v>67908.560082333759</v>
      </c>
      <c r="J32" s="75">
        <v>0.15</v>
      </c>
      <c r="K32" s="31">
        <v>0</v>
      </c>
      <c r="L32" s="31">
        <v>0.3</v>
      </c>
      <c r="M32" s="31">
        <f t="shared" si="1"/>
        <v>0.44999999999999996</v>
      </c>
      <c r="N32" s="31">
        <f t="shared" si="14"/>
        <v>0.44999999999999996</v>
      </c>
      <c r="O32" s="63">
        <f t="shared" si="3"/>
        <v>150907.91129407505</v>
      </c>
      <c r="P32" s="52">
        <f t="shared" si="4"/>
        <v>150907.91129407505</v>
      </c>
    </row>
    <row r="33" spans="1:16" ht="37.5" customHeight="1" x14ac:dyDescent="0.2">
      <c r="A33" s="24" t="s">
        <v>1899</v>
      </c>
      <c r="B33" s="27"/>
      <c r="C33" s="63">
        <v>62771</v>
      </c>
      <c r="D33" s="31">
        <v>1.4179999999999999</v>
      </c>
      <c r="E33" s="31">
        <v>1.22</v>
      </c>
      <c r="F33" s="31">
        <v>1.35</v>
      </c>
      <c r="G33" s="31">
        <v>1.3</v>
      </c>
      <c r="H33" s="31">
        <v>1.0777000000000001</v>
      </c>
      <c r="I33" s="52">
        <f t="shared" si="7"/>
        <v>205385.65747607467</v>
      </c>
      <c r="J33" s="75">
        <v>0.35</v>
      </c>
      <c r="K33" s="31">
        <v>0.23300000000000001</v>
      </c>
      <c r="L33" s="31">
        <v>0.78300000000000003</v>
      </c>
      <c r="M33" s="31">
        <f t="shared" si="1"/>
        <v>1.3660000000000001</v>
      </c>
      <c r="N33" s="31">
        <f t="shared" si="14"/>
        <v>1.3660000000000001</v>
      </c>
      <c r="O33" s="63">
        <f t="shared" si="3"/>
        <v>150355.53255935188</v>
      </c>
      <c r="P33" s="52">
        <f t="shared" si="4"/>
        <v>150355.53255935188</v>
      </c>
    </row>
    <row r="34" spans="1:16" ht="37.5" customHeight="1" x14ac:dyDescent="0.2">
      <c r="A34" s="24" t="s">
        <v>1900</v>
      </c>
      <c r="B34" s="27"/>
      <c r="C34" s="63">
        <f>25917*1.15*3+25917*2</f>
        <v>141247.65</v>
      </c>
      <c r="D34" s="31">
        <v>1.4</v>
      </c>
      <c r="E34" s="31">
        <f>(1.17*2+1.1)/3</f>
        <v>1.1466666666666667</v>
      </c>
      <c r="F34" s="31">
        <v>1.35</v>
      </c>
      <c r="G34" s="31">
        <v>1.3</v>
      </c>
      <c r="H34" s="31">
        <v>1.0777000000000001</v>
      </c>
      <c r="I34" s="52">
        <f t="shared" si="7"/>
        <v>428865.84293815086</v>
      </c>
      <c r="J34" s="75">
        <v>0.183</v>
      </c>
      <c r="K34" s="31">
        <v>2.4329999999999998</v>
      </c>
      <c r="L34" s="31">
        <v>0.3</v>
      </c>
      <c r="M34" s="31">
        <f t="shared" si="1"/>
        <v>2.9159999999999995</v>
      </c>
      <c r="N34" s="31">
        <f t="shared" si="14"/>
        <v>2.9159999999999995</v>
      </c>
      <c r="O34" s="63">
        <f t="shared" si="3"/>
        <v>147073.33434092966</v>
      </c>
      <c r="P34" s="52">
        <f t="shared" si="4"/>
        <v>147073.33434092966</v>
      </c>
    </row>
    <row r="35" spans="1:16" ht="37.5" customHeight="1" x14ac:dyDescent="0.2">
      <c r="A35" s="24" t="s">
        <v>1901</v>
      </c>
      <c r="B35" s="27"/>
      <c r="C35" s="63">
        <v>25917</v>
      </c>
      <c r="D35" s="31">
        <v>1.1499999999999999</v>
      </c>
      <c r="E35" s="31">
        <v>1.22</v>
      </c>
      <c r="F35" s="31">
        <v>1.35</v>
      </c>
      <c r="G35" s="31">
        <v>1.3</v>
      </c>
      <c r="H35" s="31">
        <v>1.0777000000000001</v>
      </c>
      <c r="I35" s="52">
        <f t="shared" si="7"/>
        <v>68772.91036478852</v>
      </c>
      <c r="J35" s="75">
        <v>0.183</v>
      </c>
      <c r="K35" s="31">
        <v>0</v>
      </c>
      <c r="L35" s="31">
        <v>0.3</v>
      </c>
      <c r="M35" s="31">
        <f t="shared" si="1"/>
        <v>0.48299999999999998</v>
      </c>
      <c r="N35" s="31">
        <f t="shared" si="14"/>
        <v>0.48299999999999998</v>
      </c>
      <c r="O35" s="63">
        <f t="shared" si="3"/>
        <v>142386.97798092861</v>
      </c>
      <c r="P35" s="52">
        <f t="shared" si="4"/>
        <v>142386.97798092861</v>
      </c>
    </row>
    <row r="36" spans="1:16" ht="37.5" customHeight="1" x14ac:dyDescent="0.2">
      <c r="A36" s="24" t="s">
        <v>1902</v>
      </c>
      <c r="B36" s="27"/>
      <c r="C36" s="63">
        <v>28588</v>
      </c>
      <c r="D36" s="31">
        <v>1.1499999999999999</v>
      </c>
      <c r="E36" s="31">
        <v>1.22</v>
      </c>
      <c r="F36" s="31">
        <v>1.35</v>
      </c>
      <c r="G36" s="31">
        <v>1.3</v>
      </c>
      <c r="H36" s="31">
        <v>1.0777000000000001</v>
      </c>
      <c r="I36" s="52">
        <f t="shared" si="7"/>
        <v>75860.630532413998</v>
      </c>
      <c r="J36" s="75">
        <v>0.2</v>
      </c>
      <c r="K36" s="31">
        <v>0</v>
      </c>
      <c r="L36" s="31">
        <v>0.33300000000000002</v>
      </c>
      <c r="M36" s="31">
        <f t="shared" si="1"/>
        <v>0.53300000000000003</v>
      </c>
      <c r="N36" s="31">
        <v>0.53300000000000003</v>
      </c>
      <c r="O36" s="63">
        <f t="shared" si="3"/>
        <v>142327.63702141462</v>
      </c>
      <c r="P36" s="52">
        <f t="shared" si="4"/>
        <v>142327.63702141462</v>
      </c>
    </row>
    <row r="37" spans="1:16" ht="37.5" customHeight="1" x14ac:dyDescent="0.2">
      <c r="A37" s="24" t="s">
        <v>1903</v>
      </c>
      <c r="B37" s="27"/>
      <c r="C37" s="63">
        <f>82183/1.4*19</f>
        <v>1115340.7142857143</v>
      </c>
      <c r="D37" s="31"/>
      <c r="E37" s="31"/>
      <c r="F37" s="31"/>
      <c r="G37" s="31">
        <v>1.3</v>
      </c>
      <c r="H37" s="31"/>
      <c r="I37" s="52">
        <f t="shared" si="7"/>
        <v>1449942.9285714286</v>
      </c>
      <c r="J37" s="75">
        <v>1.1830000000000001</v>
      </c>
      <c r="K37" s="31">
        <v>7.7830000000000004</v>
      </c>
      <c r="L37" s="31">
        <v>1.3160000000000001</v>
      </c>
      <c r="M37" s="31">
        <f t="shared" si="1"/>
        <v>10.282000000000002</v>
      </c>
      <c r="N37" s="31">
        <f t="shared" ref="N37:N38" si="15">M37</f>
        <v>10.282000000000002</v>
      </c>
      <c r="O37" s="63">
        <f t="shared" si="3"/>
        <v>141017.59663211714</v>
      </c>
      <c r="P37" s="52">
        <f t="shared" si="4"/>
        <v>141017.59663211714</v>
      </c>
    </row>
    <row r="38" spans="1:16" ht="37.5" customHeight="1" x14ac:dyDescent="0.2">
      <c r="A38" s="24" t="s">
        <v>1904</v>
      </c>
      <c r="B38" s="27"/>
      <c r="C38" s="63">
        <f>17604*8</f>
        <v>140832</v>
      </c>
      <c r="D38" s="31"/>
      <c r="E38" s="31">
        <v>1.22</v>
      </c>
      <c r="F38" s="31">
        <v>1.35</v>
      </c>
      <c r="G38" s="31">
        <v>1.3</v>
      </c>
      <c r="H38" s="31">
        <v>1.0777000000000001</v>
      </c>
      <c r="I38" s="52">
        <f t="shared" si="7"/>
        <v>324964.69540704007</v>
      </c>
      <c r="J38" s="75">
        <v>0.216</v>
      </c>
      <c r="K38" s="31">
        <f>3.033*0.6</f>
        <v>1.8197999999999999</v>
      </c>
      <c r="L38" s="31">
        <v>0.316</v>
      </c>
      <c r="M38" s="31">
        <f t="shared" si="1"/>
        <v>2.3517999999999999</v>
      </c>
      <c r="N38" s="31">
        <f t="shared" si="15"/>
        <v>2.3517999999999999</v>
      </c>
      <c r="O38" s="63">
        <f t="shared" si="3"/>
        <v>138177.01139852032</v>
      </c>
      <c r="P38" s="52">
        <f t="shared" si="4"/>
        <v>138177.01139852032</v>
      </c>
    </row>
    <row r="39" spans="1:16" ht="37.5" customHeight="1" x14ac:dyDescent="0.2">
      <c r="A39" s="24" t="s">
        <v>1905</v>
      </c>
      <c r="B39" s="27"/>
      <c r="C39" s="63">
        <f>95924*4</f>
        <v>383696</v>
      </c>
      <c r="D39" s="31">
        <v>0.75</v>
      </c>
      <c r="E39" s="31">
        <v>1.22</v>
      </c>
      <c r="F39" s="31">
        <v>1.35</v>
      </c>
      <c r="G39" s="31">
        <v>1.3</v>
      </c>
      <c r="H39" s="31">
        <v>1.0777000000000001</v>
      </c>
      <c r="I39" s="52">
        <f t="shared" si="7"/>
        <v>664023.37768884003</v>
      </c>
      <c r="J39" s="75">
        <v>0.183</v>
      </c>
      <c r="K39" s="31">
        <f>0.875*3</f>
        <v>2.625</v>
      </c>
      <c r="L39" s="31">
        <v>0.33300000000000002</v>
      </c>
      <c r="M39" s="31">
        <f t="shared" si="1"/>
        <v>3.141</v>
      </c>
      <c r="N39" s="31">
        <f>J39+K39+2</f>
        <v>4.8079999999999998</v>
      </c>
      <c r="O39" s="63">
        <f t="shared" si="3"/>
        <v>211405.08681593125</v>
      </c>
      <c r="P39" s="52">
        <f t="shared" si="4"/>
        <v>138108.02364576541</v>
      </c>
    </row>
    <row r="40" spans="1:16" ht="37.5" customHeight="1" x14ac:dyDescent="0.2">
      <c r="A40" s="24" t="s">
        <v>1906</v>
      </c>
      <c r="B40" s="59"/>
      <c r="C40" s="63">
        <v>62771</v>
      </c>
      <c r="D40" s="31">
        <v>1.3</v>
      </c>
      <c r="E40" s="31">
        <v>1.22</v>
      </c>
      <c r="F40" s="31">
        <v>1.35</v>
      </c>
      <c r="G40" s="31">
        <v>1.3</v>
      </c>
      <c r="H40" s="31">
        <v>1.0777000000000001</v>
      </c>
      <c r="I40" s="52">
        <f t="shared" si="7"/>
        <v>188294.32631798106</v>
      </c>
      <c r="J40" s="75">
        <v>0.35</v>
      </c>
      <c r="K40" s="31">
        <v>0.23300000000000001</v>
      </c>
      <c r="L40" s="31">
        <v>0.78300000000000003</v>
      </c>
      <c r="M40" s="31">
        <f t="shared" si="1"/>
        <v>1.3660000000000001</v>
      </c>
      <c r="N40" s="31">
        <f t="shared" ref="N40:N41" si="16">M40</f>
        <v>1.3660000000000001</v>
      </c>
      <c r="O40" s="63">
        <f t="shared" si="3"/>
        <v>137843.57709954688</v>
      </c>
      <c r="P40" s="52">
        <f t="shared" si="4"/>
        <v>137843.57709954688</v>
      </c>
    </row>
    <row r="41" spans="1:16" ht="37.5" customHeight="1" x14ac:dyDescent="0.2">
      <c r="A41" s="24" t="s">
        <v>1907</v>
      </c>
      <c r="B41" s="59"/>
      <c r="C41" s="63">
        <f>17604*8</f>
        <v>140832</v>
      </c>
      <c r="D41" s="31">
        <v>1.47</v>
      </c>
      <c r="E41" s="31">
        <v>1.22</v>
      </c>
      <c r="F41" s="31">
        <v>1.35</v>
      </c>
      <c r="G41" s="31">
        <v>1.3</v>
      </c>
      <c r="H41" s="31">
        <v>1.0777000000000001</v>
      </c>
      <c r="I41" s="52">
        <f t="shared" si="7"/>
        <v>477698.10224834899</v>
      </c>
      <c r="J41" s="75">
        <v>0.216</v>
      </c>
      <c r="K41" s="31">
        <v>3.0329999999999999</v>
      </c>
      <c r="L41" s="31">
        <v>0.316</v>
      </c>
      <c r="M41" s="31">
        <f t="shared" si="1"/>
        <v>3.5649999999999999</v>
      </c>
      <c r="N41" s="31">
        <f t="shared" si="16"/>
        <v>3.5649999999999999</v>
      </c>
      <c r="O41" s="63">
        <f t="shared" si="3"/>
        <v>133996.66262225778</v>
      </c>
      <c r="P41" s="52">
        <f t="shared" si="4"/>
        <v>133996.66262225778</v>
      </c>
    </row>
    <row r="42" spans="1:16" ht="37.5" customHeight="1" x14ac:dyDescent="0.2">
      <c r="A42" s="24" t="s">
        <v>1908</v>
      </c>
      <c r="B42" s="27"/>
      <c r="C42" s="63">
        <v>95924</v>
      </c>
      <c r="D42" s="31">
        <f>1.289</f>
        <v>1.2889999999999999</v>
      </c>
      <c r="E42" s="31">
        <v>1.25</v>
      </c>
      <c r="F42" s="31">
        <v>1.35</v>
      </c>
      <c r="G42" s="31">
        <v>1.3</v>
      </c>
      <c r="H42" s="31">
        <v>1.0777000000000001</v>
      </c>
      <c r="I42" s="52">
        <f t="shared" si="7"/>
        <v>292324.49926260754</v>
      </c>
      <c r="J42" s="75">
        <v>0.23300000000000001</v>
      </c>
      <c r="K42" s="31">
        <v>0</v>
      </c>
      <c r="L42" s="31">
        <v>0.41599999999999998</v>
      </c>
      <c r="M42" s="31">
        <f t="shared" si="1"/>
        <v>0.64900000000000002</v>
      </c>
      <c r="N42" s="31">
        <f>J42+K42+2</f>
        <v>2.2330000000000001</v>
      </c>
      <c r="O42" s="63">
        <f t="shared" si="3"/>
        <v>450422.95726133673</v>
      </c>
      <c r="P42" s="52">
        <f t="shared" si="4"/>
        <v>130911.10580501905</v>
      </c>
    </row>
    <row r="43" spans="1:16" ht="37.5" customHeight="1" x14ac:dyDescent="0.2">
      <c r="A43" s="24" t="s">
        <v>1909</v>
      </c>
      <c r="B43" s="27"/>
      <c r="C43" s="63">
        <v>95924</v>
      </c>
      <c r="D43" s="31">
        <v>1.2889999999999999</v>
      </c>
      <c r="E43" s="31">
        <v>1.22</v>
      </c>
      <c r="F43" s="31">
        <v>1.35</v>
      </c>
      <c r="G43" s="31">
        <v>1.3</v>
      </c>
      <c r="H43" s="31">
        <v>1.0777000000000001</v>
      </c>
      <c r="I43" s="52">
        <f t="shared" si="7"/>
        <v>285308.71128030494</v>
      </c>
      <c r="J43" s="75">
        <v>0.183</v>
      </c>
      <c r="K43" s="31">
        <v>0</v>
      </c>
      <c r="L43" s="31">
        <v>0.41599999999999998</v>
      </c>
      <c r="M43" s="31">
        <f t="shared" si="1"/>
        <v>0.59899999999999998</v>
      </c>
      <c r="N43" s="31">
        <f>J43+2</f>
        <v>2.1829999999999998</v>
      </c>
      <c r="O43" s="63">
        <f t="shared" si="3"/>
        <v>476308.36607730377</v>
      </c>
      <c r="P43" s="52">
        <f t="shared" si="4"/>
        <v>130695.69916642463</v>
      </c>
    </row>
    <row r="44" spans="1:16" ht="37.5" customHeight="1" x14ac:dyDescent="0.2">
      <c r="A44" s="24" t="s">
        <v>1910</v>
      </c>
      <c r="B44" s="27"/>
      <c r="C44" s="63">
        <f>27149*2+27149*1.15*2</f>
        <v>116740.7</v>
      </c>
      <c r="D44" s="31">
        <f>(1.47*1.15+1.4)/2.15</f>
        <v>1.4374418604651162</v>
      </c>
      <c r="E44" s="31">
        <f>(1.17*2+1.1)/3</f>
        <v>1.1466666666666667</v>
      </c>
      <c r="F44" s="31">
        <v>1.35</v>
      </c>
      <c r="G44" s="31">
        <v>1.3</v>
      </c>
      <c r="H44" s="31">
        <v>1.0777000000000001</v>
      </c>
      <c r="I44" s="52">
        <f t="shared" si="7"/>
        <v>363935.79482017213</v>
      </c>
      <c r="J44" s="75">
        <v>0.216</v>
      </c>
      <c r="K44" s="31">
        <v>2.15</v>
      </c>
      <c r="L44" s="31">
        <v>0.55000000000000004</v>
      </c>
      <c r="M44" s="31">
        <f t="shared" si="1"/>
        <v>2.9160000000000004</v>
      </c>
      <c r="N44" s="31">
        <v>2.9159999999999999</v>
      </c>
      <c r="O44" s="63">
        <f t="shared" si="3"/>
        <v>124806.51399868727</v>
      </c>
      <c r="P44" s="52">
        <f t="shared" si="4"/>
        <v>124806.5139986873</v>
      </c>
    </row>
    <row r="45" spans="1:16" ht="37.5" customHeight="1" x14ac:dyDescent="0.2">
      <c r="A45" s="24" t="s">
        <v>1911</v>
      </c>
      <c r="B45" s="27"/>
      <c r="C45" s="63">
        <f>464691/2</f>
        <v>232345.5</v>
      </c>
      <c r="D45" s="31"/>
      <c r="E45" s="31"/>
      <c r="F45" s="31"/>
      <c r="G45" s="31"/>
      <c r="H45" s="31"/>
      <c r="I45" s="52">
        <f t="shared" si="7"/>
        <v>232345.5</v>
      </c>
      <c r="J45" s="75">
        <v>0</v>
      </c>
      <c r="K45" s="31">
        <v>1.5</v>
      </c>
      <c r="L45" s="31">
        <v>0</v>
      </c>
      <c r="M45" s="31">
        <f t="shared" si="1"/>
        <v>1.5</v>
      </c>
      <c r="N45" s="31">
        <v>1.9</v>
      </c>
      <c r="O45" s="63">
        <f t="shared" si="3"/>
        <v>154897</v>
      </c>
      <c r="P45" s="52">
        <f t="shared" si="4"/>
        <v>122287.10526315789</v>
      </c>
    </row>
    <row r="46" spans="1:16" ht="37.5" customHeight="1" x14ac:dyDescent="0.2">
      <c r="A46" s="24" t="s">
        <v>1912</v>
      </c>
      <c r="B46" s="27"/>
      <c r="C46" s="63">
        <v>457196</v>
      </c>
      <c r="D46" s="31"/>
      <c r="E46" s="31"/>
      <c r="F46" s="31"/>
      <c r="G46" s="31">
        <v>1.3</v>
      </c>
      <c r="H46" s="31"/>
      <c r="I46" s="52">
        <f t="shared" si="7"/>
        <v>594354.80000000005</v>
      </c>
      <c r="J46" s="75">
        <v>0</v>
      </c>
      <c r="K46" s="31">
        <v>1.8</v>
      </c>
      <c r="L46" s="31">
        <v>0</v>
      </c>
      <c r="M46" s="31">
        <f t="shared" si="1"/>
        <v>1.8</v>
      </c>
      <c r="N46" s="31">
        <f>1.1+3.8</f>
        <v>4.9000000000000004</v>
      </c>
      <c r="O46" s="63">
        <f t="shared" si="3"/>
        <v>330197.11111111112</v>
      </c>
      <c r="P46" s="52">
        <f t="shared" si="4"/>
        <v>121296.89795918367</v>
      </c>
    </row>
    <row r="47" spans="1:16" ht="37.5" customHeight="1" x14ac:dyDescent="0.2">
      <c r="A47" s="24" t="s">
        <v>1913</v>
      </c>
      <c r="B47" s="27"/>
      <c r="C47" s="63">
        <f>25917*1.15*3+25917*2</f>
        <v>141247.65</v>
      </c>
      <c r="D47" s="31">
        <v>1.1499999999999999</v>
      </c>
      <c r="E47" s="31">
        <f>(1.17*2+1.1)/3</f>
        <v>1.1466666666666667</v>
      </c>
      <c r="F47" s="31">
        <v>1.35</v>
      </c>
      <c r="G47" s="31">
        <v>1.3</v>
      </c>
      <c r="H47" s="31">
        <v>1.0777000000000001</v>
      </c>
      <c r="I47" s="52">
        <f t="shared" si="7"/>
        <v>352282.65669919533</v>
      </c>
      <c r="J47" s="75">
        <v>0.183</v>
      </c>
      <c r="K47" s="31">
        <v>2.4329999999999998</v>
      </c>
      <c r="L47" s="31">
        <v>0.3</v>
      </c>
      <c r="M47" s="31">
        <f t="shared" si="1"/>
        <v>2.9159999999999995</v>
      </c>
      <c r="N47" s="31">
        <f t="shared" ref="N47:N48" si="17">M47</f>
        <v>2.9159999999999995</v>
      </c>
      <c r="O47" s="63">
        <f t="shared" si="3"/>
        <v>120810.23892290652</v>
      </c>
      <c r="P47" s="52">
        <f t="shared" si="4"/>
        <v>120810.23892290652</v>
      </c>
    </row>
    <row r="48" spans="1:16" ht="37.5" customHeight="1" x14ac:dyDescent="0.2">
      <c r="A48" s="24" t="s">
        <v>1914</v>
      </c>
      <c r="B48" s="27"/>
      <c r="C48" s="63">
        <v>68704</v>
      </c>
      <c r="D48" s="31">
        <v>1.4179999999999999</v>
      </c>
      <c r="E48" s="31">
        <v>1.22</v>
      </c>
      <c r="F48" s="31">
        <v>1.35</v>
      </c>
      <c r="G48" s="31">
        <v>1.3</v>
      </c>
      <c r="H48" s="31">
        <v>1.0777000000000001</v>
      </c>
      <c r="I48" s="52">
        <f t="shared" si="7"/>
        <v>224798.33380440387</v>
      </c>
      <c r="J48" s="75">
        <v>0.96599999999999997</v>
      </c>
      <c r="K48" s="31">
        <v>0</v>
      </c>
      <c r="L48" s="31">
        <v>0.91700000000000004</v>
      </c>
      <c r="M48" s="31">
        <f t="shared" si="1"/>
        <v>1.883</v>
      </c>
      <c r="N48" s="31">
        <f t="shared" si="17"/>
        <v>1.883</v>
      </c>
      <c r="O48" s="63">
        <f t="shared" si="3"/>
        <v>119383.07690090487</v>
      </c>
      <c r="P48" s="52">
        <f t="shared" si="4"/>
        <v>119383.07690090487</v>
      </c>
    </row>
    <row r="49" spans="1:16" ht="37.5" customHeight="1" x14ac:dyDescent="0.2">
      <c r="A49" s="24" t="s">
        <v>561</v>
      </c>
      <c r="B49" s="27"/>
      <c r="C49" s="63">
        <v>300466</v>
      </c>
      <c r="D49" s="31"/>
      <c r="E49" s="31"/>
      <c r="F49" s="31"/>
      <c r="G49" s="31">
        <v>1.3</v>
      </c>
      <c r="H49" s="31"/>
      <c r="I49" s="52">
        <f t="shared" si="7"/>
        <v>390605.8</v>
      </c>
      <c r="J49" s="75">
        <v>0</v>
      </c>
      <c r="K49" s="31">
        <v>1.516</v>
      </c>
      <c r="L49" s="31">
        <v>0</v>
      </c>
      <c r="M49" s="31">
        <f t="shared" si="1"/>
        <v>1.516</v>
      </c>
      <c r="N49" s="31">
        <v>3.2829999999999999</v>
      </c>
      <c r="O49" s="63">
        <f t="shared" si="3"/>
        <v>257655.54089709761</v>
      </c>
      <c r="P49" s="52">
        <f t="shared" si="4"/>
        <v>118978.31251903747</v>
      </c>
    </row>
    <row r="50" spans="1:16" ht="37.5" customHeight="1" x14ac:dyDescent="0.2">
      <c r="A50" s="24" t="s">
        <v>1915</v>
      </c>
      <c r="B50" s="27"/>
      <c r="C50" s="63">
        <v>22365</v>
      </c>
      <c r="D50" s="31">
        <v>1.1499999999999999</v>
      </c>
      <c r="E50" s="31">
        <v>1.22</v>
      </c>
      <c r="F50" s="31">
        <v>1.35</v>
      </c>
      <c r="G50" s="31">
        <v>1.3</v>
      </c>
      <c r="H50" s="31">
        <v>1.0777000000000001</v>
      </c>
      <c r="I50" s="52">
        <f t="shared" si="7"/>
        <v>59347.3835825325</v>
      </c>
      <c r="J50" s="75">
        <v>0.16600000000000001</v>
      </c>
      <c r="K50" s="31">
        <v>0</v>
      </c>
      <c r="L50" s="31">
        <v>0.33300000000000002</v>
      </c>
      <c r="M50" s="31">
        <f t="shared" si="1"/>
        <v>0.499</v>
      </c>
      <c r="N50" s="31">
        <f t="shared" ref="N50:N53" si="18">M50</f>
        <v>0.499</v>
      </c>
      <c r="O50" s="63">
        <f t="shared" si="3"/>
        <v>118932.63242992485</v>
      </c>
      <c r="P50" s="52">
        <f t="shared" si="4"/>
        <v>118932.63242992485</v>
      </c>
    </row>
    <row r="51" spans="1:16" ht="37.5" customHeight="1" x14ac:dyDescent="0.2">
      <c r="A51" s="24" t="s">
        <v>1916</v>
      </c>
      <c r="B51" s="27"/>
      <c r="C51" s="63">
        <v>54990</v>
      </c>
      <c r="D51" s="31">
        <f>1.418*1.5</f>
        <v>2.1269999999999998</v>
      </c>
      <c r="E51" s="31">
        <v>1.22</v>
      </c>
      <c r="F51" s="31">
        <v>1.35</v>
      </c>
      <c r="G51" s="31">
        <v>1.3</v>
      </c>
      <c r="H51" s="31">
        <v>1.0777000000000001</v>
      </c>
      <c r="I51" s="52">
        <f t="shared" si="7"/>
        <v>269889.53428994311</v>
      </c>
      <c r="J51" s="75">
        <f>0.316+0.385</f>
        <v>0.70100000000000007</v>
      </c>
      <c r="K51" s="31">
        <v>0.41599999999999998</v>
      </c>
      <c r="L51" s="31">
        <v>1.1659999999999999</v>
      </c>
      <c r="M51" s="31">
        <f t="shared" si="1"/>
        <v>2.2829999999999999</v>
      </c>
      <c r="N51" s="31">
        <f t="shared" si="18"/>
        <v>2.2829999999999999</v>
      </c>
      <c r="O51" s="63">
        <f t="shared" si="3"/>
        <v>118217.05400347925</v>
      </c>
      <c r="P51" s="52">
        <f t="shared" si="4"/>
        <v>118217.05400347925</v>
      </c>
    </row>
    <row r="52" spans="1:16" ht="37.5" customHeight="1" x14ac:dyDescent="0.2">
      <c r="A52" s="24" t="s">
        <v>1917</v>
      </c>
      <c r="B52" s="27"/>
      <c r="C52" s="63">
        <f>22365*1.15*3+22365*2</f>
        <v>121889.24999999999</v>
      </c>
      <c r="D52" s="31">
        <v>1.1499999999999999</v>
      </c>
      <c r="E52" s="31">
        <f>(1.17*2+1.1)/3</f>
        <v>1.1466666666666667</v>
      </c>
      <c r="F52" s="31">
        <v>1.35</v>
      </c>
      <c r="G52" s="31">
        <v>1.3</v>
      </c>
      <c r="H52" s="31">
        <v>1.0777000000000001</v>
      </c>
      <c r="I52" s="52">
        <f t="shared" si="7"/>
        <v>304001.29710527859</v>
      </c>
      <c r="J52" s="75">
        <v>0.16600000000000001</v>
      </c>
      <c r="K52" s="31">
        <v>2.2000000000000002</v>
      </c>
      <c r="L52" s="31">
        <v>0.33300000000000002</v>
      </c>
      <c r="M52" s="31">
        <f t="shared" si="1"/>
        <v>2.6990000000000003</v>
      </c>
      <c r="N52" s="31">
        <f t="shared" si="18"/>
        <v>2.6990000000000003</v>
      </c>
      <c r="O52" s="63">
        <f t="shared" si="3"/>
        <v>112634.78959069231</v>
      </c>
      <c r="P52" s="52">
        <f t="shared" si="4"/>
        <v>112634.78959069231</v>
      </c>
    </row>
    <row r="53" spans="1:16" ht="37.5" customHeight="1" x14ac:dyDescent="0.2">
      <c r="A53" s="24" t="s">
        <v>1918</v>
      </c>
      <c r="B53" s="27"/>
      <c r="C53" s="63">
        <v>21857</v>
      </c>
      <c r="D53" s="31">
        <v>1.1499999999999999</v>
      </c>
      <c r="E53" s="31">
        <v>1.22</v>
      </c>
      <c r="F53" s="31">
        <v>1.35</v>
      </c>
      <c r="G53" s="31">
        <v>1.3</v>
      </c>
      <c r="H53" s="31">
        <v>1.0777000000000001</v>
      </c>
      <c r="I53" s="52">
        <f t="shared" si="7"/>
        <v>57999.363423358518</v>
      </c>
      <c r="J53" s="75">
        <v>0.2</v>
      </c>
      <c r="K53" s="31">
        <v>0</v>
      </c>
      <c r="L53" s="31">
        <v>0.33300000000000002</v>
      </c>
      <c r="M53" s="31">
        <f t="shared" si="1"/>
        <v>0.53300000000000003</v>
      </c>
      <c r="N53" s="31">
        <f t="shared" si="18"/>
        <v>0.53300000000000003</v>
      </c>
      <c r="O53" s="63">
        <f t="shared" si="3"/>
        <v>108816.81692937808</v>
      </c>
      <c r="P53" s="52">
        <f t="shared" si="4"/>
        <v>108816.81692937808</v>
      </c>
    </row>
    <row r="54" spans="1:16" ht="37.5" customHeight="1" x14ac:dyDescent="0.2">
      <c r="A54" s="24" t="s">
        <v>1919</v>
      </c>
      <c r="B54" s="27"/>
      <c r="C54" s="63">
        <f>90243*2</f>
        <v>180486</v>
      </c>
      <c r="D54" s="31"/>
      <c r="E54" s="31"/>
      <c r="F54" s="31">
        <v>1.35</v>
      </c>
      <c r="G54" s="31">
        <v>1.3</v>
      </c>
      <c r="H54" s="31"/>
      <c r="I54" s="52">
        <f t="shared" si="7"/>
        <v>316752.93</v>
      </c>
      <c r="J54" s="75">
        <v>0.216</v>
      </c>
      <c r="K54" s="31">
        <v>2.15</v>
      </c>
      <c r="L54" s="31">
        <v>0.55000000000000004</v>
      </c>
      <c r="M54" s="31">
        <f t="shared" si="1"/>
        <v>2.9160000000000004</v>
      </c>
      <c r="N54" s="31">
        <v>2.9159999999999999</v>
      </c>
      <c r="O54" s="63">
        <f t="shared" si="3"/>
        <v>108625.83333333331</v>
      </c>
      <c r="P54" s="52">
        <f t="shared" si="4"/>
        <v>108625.83333333333</v>
      </c>
    </row>
    <row r="55" spans="1:16" ht="37.5" customHeight="1" x14ac:dyDescent="0.2">
      <c r="A55" s="24" t="s">
        <v>1920</v>
      </c>
      <c r="B55" s="27"/>
      <c r="C55" s="63">
        <f>95924*2</f>
        <v>191848</v>
      </c>
      <c r="D55" s="31">
        <v>0.75</v>
      </c>
      <c r="E55" s="31">
        <v>1.22</v>
      </c>
      <c r="F55" s="31">
        <v>1.35</v>
      </c>
      <c r="G55" s="31">
        <v>1.3</v>
      </c>
      <c r="H55" s="31">
        <v>1.0777000000000001</v>
      </c>
      <c r="I55" s="52">
        <f t="shared" si="7"/>
        <v>332011.68884442002</v>
      </c>
      <c r="J55" s="75">
        <v>0.183</v>
      </c>
      <c r="K55" s="31">
        <f>1.166*0.75</f>
        <v>0.87449999999999994</v>
      </c>
      <c r="L55" s="31">
        <v>0.33300000000000002</v>
      </c>
      <c r="M55" s="31">
        <f t="shared" si="1"/>
        <v>1.3904999999999998</v>
      </c>
      <c r="N55" s="31">
        <f>J55+K55+2</f>
        <v>3.0575000000000001</v>
      </c>
      <c r="O55" s="63">
        <f t="shared" si="3"/>
        <v>238771.44109631071</v>
      </c>
      <c r="P55" s="52">
        <f t="shared" si="4"/>
        <v>108589.26863268029</v>
      </c>
    </row>
    <row r="56" spans="1:16" ht="37.5" customHeight="1" x14ac:dyDescent="0.2">
      <c r="A56" s="24" t="s">
        <v>1921</v>
      </c>
      <c r="B56" s="27"/>
      <c r="C56" s="63">
        <f>15783*1.15</f>
        <v>18150.449999999997</v>
      </c>
      <c r="D56" s="31">
        <v>1.35</v>
      </c>
      <c r="E56" s="31">
        <v>1.1000000000000001</v>
      </c>
      <c r="F56" s="31">
        <v>1.35</v>
      </c>
      <c r="G56" s="31">
        <v>1.3</v>
      </c>
      <c r="H56" s="31">
        <v>1.0777000000000001</v>
      </c>
      <c r="I56" s="52">
        <f>PRODUCT(C56:H56)*21+PRODUCT(C56:H56)/1.35</f>
        <v>1108314.9495463942</v>
      </c>
      <c r="J56" s="75">
        <v>0.16600000000000001</v>
      </c>
      <c r="K56" s="31">
        <f>0.416*21</f>
        <v>8.7359999999999989</v>
      </c>
      <c r="L56" s="31">
        <v>0.316</v>
      </c>
      <c r="M56" s="31">
        <f t="shared" si="1"/>
        <v>9.218</v>
      </c>
      <c r="N56" s="31">
        <f>J56+K56+1.716</f>
        <v>10.617999999999999</v>
      </c>
      <c r="O56" s="63">
        <f t="shared" si="3"/>
        <v>120233.7762580163</v>
      </c>
      <c r="P56" s="52">
        <f t="shared" si="4"/>
        <v>104380.76375460485</v>
      </c>
    </row>
    <row r="57" spans="1:16" ht="37.5" customHeight="1" x14ac:dyDescent="0.2">
      <c r="A57" s="24" t="s">
        <v>1922</v>
      </c>
      <c r="B57" s="27"/>
      <c r="C57" s="63">
        <f>15783*2</f>
        <v>31566</v>
      </c>
      <c r="D57" s="31">
        <v>1.2</v>
      </c>
      <c r="E57" s="31">
        <v>1.22</v>
      </c>
      <c r="F57" s="31">
        <v>1.35</v>
      </c>
      <c r="G57" s="31">
        <v>1.3</v>
      </c>
      <c r="H57" s="31">
        <v>1.0777000000000001</v>
      </c>
      <c r="I57" s="52">
        <f t="shared" ref="I57:I59" si="19">PRODUCT(C57:H57)</f>
        <v>87404.870272824002</v>
      </c>
      <c r="J57" s="75">
        <v>0.16600000000000001</v>
      </c>
      <c r="K57" s="31">
        <v>0.41599999999999998</v>
      </c>
      <c r="L57" s="31">
        <v>0.316</v>
      </c>
      <c r="M57" s="31">
        <f t="shared" si="1"/>
        <v>0.89799999999999991</v>
      </c>
      <c r="N57" s="31">
        <f t="shared" ref="N57:N59" si="20">M57</f>
        <v>0.89799999999999991</v>
      </c>
      <c r="O57" s="63">
        <f t="shared" si="3"/>
        <v>97332.817675750572</v>
      </c>
      <c r="P57" s="52">
        <f t="shared" si="4"/>
        <v>97332.817675750572</v>
      </c>
    </row>
    <row r="58" spans="1:16" ht="37.5" customHeight="1" x14ac:dyDescent="0.2">
      <c r="A58" s="24" t="s">
        <v>1923</v>
      </c>
      <c r="B58" s="27"/>
      <c r="C58" s="63">
        <v>54990</v>
      </c>
      <c r="D58" s="31">
        <v>1.4179999999999999</v>
      </c>
      <c r="E58" s="31">
        <v>1.22</v>
      </c>
      <c r="F58" s="31">
        <v>1.35</v>
      </c>
      <c r="G58" s="31">
        <v>1.3</v>
      </c>
      <c r="H58" s="31">
        <v>1.0777000000000001</v>
      </c>
      <c r="I58" s="52">
        <f t="shared" si="19"/>
        <v>179926.35619329539</v>
      </c>
      <c r="J58" s="75">
        <v>0.316</v>
      </c>
      <c r="K58" s="31">
        <v>0.41599999999999998</v>
      </c>
      <c r="L58" s="31">
        <v>1.1659999999999999</v>
      </c>
      <c r="M58" s="31">
        <f t="shared" si="1"/>
        <v>1.8979999999999999</v>
      </c>
      <c r="N58" s="31">
        <f t="shared" si="20"/>
        <v>1.8979999999999999</v>
      </c>
      <c r="O58" s="63">
        <f t="shared" si="3"/>
        <v>94797.869437984933</v>
      </c>
      <c r="P58" s="52">
        <f t="shared" si="4"/>
        <v>94797.869437984933</v>
      </c>
    </row>
    <row r="59" spans="1:16" ht="37.5" customHeight="1" x14ac:dyDescent="0.2">
      <c r="A59" s="24" t="s">
        <v>1924</v>
      </c>
      <c r="B59" s="27"/>
      <c r="C59" s="63">
        <v>26982</v>
      </c>
      <c r="D59" s="31"/>
      <c r="E59" s="31">
        <v>1.1000000000000001</v>
      </c>
      <c r="F59" s="31">
        <v>1.35</v>
      </c>
      <c r="G59" s="31">
        <v>1.3</v>
      </c>
      <c r="H59" s="31">
        <v>1.0777000000000001</v>
      </c>
      <c r="I59" s="52">
        <f t="shared" si="19"/>
        <v>56136.04695270001</v>
      </c>
      <c r="J59" s="75">
        <v>0.26600000000000001</v>
      </c>
      <c r="K59" s="31">
        <v>0</v>
      </c>
      <c r="L59" s="31">
        <v>0.35</v>
      </c>
      <c r="M59" s="31">
        <f t="shared" si="1"/>
        <v>0.61599999999999999</v>
      </c>
      <c r="N59" s="31">
        <f t="shared" si="20"/>
        <v>0.61599999999999999</v>
      </c>
      <c r="O59" s="63">
        <f t="shared" si="3"/>
        <v>91129.946351785737</v>
      </c>
      <c r="P59" s="52">
        <f t="shared" si="4"/>
        <v>91129.946351785737</v>
      </c>
    </row>
    <row r="60" spans="1:16" ht="37.5" customHeight="1" x14ac:dyDescent="0.2">
      <c r="A60" s="24" t="s">
        <v>1925</v>
      </c>
      <c r="B60" s="27"/>
      <c r="C60" s="63">
        <f>25495*1.15</f>
        <v>29319.249999999996</v>
      </c>
      <c r="D60" s="31">
        <v>1.2</v>
      </c>
      <c r="E60" s="31">
        <v>1.1000000000000001</v>
      </c>
      <c r="F60" s="31">
        <v>1.35</v>
      </c>
      <c r="G60" s="31">
        <v>1.3</v>
      </c>
      <c r="H60" s="31">
        <v>1.0777000000000001</v>
      </c>
      <c r="I60" s="52">
        <f>8*PRODUCT(C60:H60)</f>
        <v>585587.47418028</v>
      </c>
      <c r="J60" s="75">
        <v>0.35</v>
      </c>
      <c r="K60" s="31">
        <v>5.8159999999999998</v>
      </c>
      <c r="L60" s="31">
        <v>0.38300000000000001</v>
      </c>
      <c r="M60" s="31">
        <f t="shared" si="1"/>
        <v>6.5489999999999995</v>
      </c>
      <c r="N60" s="31">
        <v>6.5490000000000004</v>
      </c>
      <c r="O60" s="63">
        <f t="shared" si="3"/>
        <v>89416.319160219893</v>
      </c>
      <c r="P60" s="52">
        <f t="shared" si="4"/>
        <v>89416.319160219879</v>
      </c>
    </row>
    <row r="61" spans="1:16" ht="37.5" customHeight="1" x14ac:dyDescent="0.2">
      <c r="A61" s="24" t="s">
        <v>1926</v>
      </c>
      <c r="B61" s="27"/>
      <c r="C61" s="63">
        <f>71544*2</f>
        <v>143088</v>
      </c>
      <c r="D61" s="31"/>
      <c r="E61" s="31">
        <v>1.22</v>
      </c>
      <c r="F61" s="31">
        <v>1.35</v>
      </c>
      <c r="G61" s="31">
        <v>1.3</v>
      </c>
      <c r="H61" s="31"/>
      <c r="I61" s="52">
        <f t="shared" ref="I61:I82" si="21">PRODUCT(C61:H61)</f>
        <v>306365.71679999999</v>
      </c>
      <c r="J61" s="75">
        <v>0.216</v>
      </c>
      <c r="K61" s="31">
        <v>1.3</v>
      </c>
      <c r="L61" s="31">
        <v>0.3</v>
      </c>
      <c r="M61" s="31">
        <f t="shared" si="1"/>
        <v>1.8160000000000001</v>
      </c>
      <c r="N61" s="31">
        <f>J61+K61+2</f>
        <v>3.516</v>
      </c>
      <c r="O61" s="63">
        <f t="shared" si="3"/>
        <v>168703.58854625549</v>
      </c>
      <c r="P61" s="52">
        <f t="shared" si="4"/>
        <v>87134.731740614327</v>
      </c>
    </row>
    <row r="62" spans="1:16" ht="37.5" customHeight="1" x14ac:dyDescent="0.2">
      <c r="A62" s="24" t="s">
        <v>236</v>
      </c>
      <c r="B62" s="27"/>
      <c r="C62" s="63">
        <v>29980</v>
      </c>
      <c r="D62" s="31"/>
      <c r="E62" s="31">
        <v>1.1000000000000001</v>
      </c>
      <c r="F62" s="31">
        <v>1.35</v>
      </c>
      <c r="G62" s="31"/>
      <c r="H62" s="31"/>
      <c r="I62" s="52">
        <f t="shared" si="21"/>
        <v>44520.3</v>
      </c>
      <c r="J62" s="75">
        <v>0.23300000000000001</v>
      </c>
      <c r="K62" s="31">
        <v>0</v>
      </c>
      <c r="L62" s="31">
        <v>0.28299999999999997</v>
      </c>
      <c r="M62" s="31">
        <f t="shared" si="1"/>
        <v>0.51600000000000001</v>
      </c>
      <c r="N62" s="31">
        <f t="shared" ref="N62:N64" si="22">M62</f>
        <v>0.51600000000000001</v>
      </c>
      <c r="O62" s="63">
        <f t="shared" si="3"/>
        <v>86279.651162790702</v>
      </c>
      <c r="P62" s="52">
        <f t="shared" si="4"/>
        <v>86279.651162790702</v>
      </c>
    </row>
    <row r="63" spans="1:16" ht="37.5" customHeight="1" x14ac:dyDescent="0.2">
      <c r="A63" s="24" t="s">
        <v>1927</v>
      </c>
      <c r="B63" s="27"/>
      <c r="C63" s="63">
        <v>35275</v>
      </c>
      <c r="D63" s="31">
        <v>1.47</v>
      </c>
      <c r="E63" s="31">
        <v>1.22</v>
      </c>
      <c r="F63" s="31">
        <v>1.35</v>
      </c>
      <c r="G63" s="31">
        <v>1.3</v>
      </c>
      <c r="H63" s="31">
        <v>1.0777000000000001</v>
      </c>
      <c r="I63" s="52">
        <f t="shared" si="21"/>
        <v>119651.78763924752</v>
      </c>
      <c r="J63" s="75">
        <v>1.1160000000000001</v>
      </c>
      <c r="K63" s="31">
        <v>0.13300000000000001</v>
      </c>
      <c r="L63" s="31">
        <v>0.216</v>
      </c>
      <c r="M63" s="31">
        <f t="shared" si="1"/>
        <v>1.4650000000000001</v>
      </c>
      <c r="N63" s="31">
        <f t="shared" si="22"/>
        <v>1.4650000000000001</v>
      </c>
      <c r="O63" s="63">
        <f t="shared" si="3"/>
        <v>81673.575180373722</v>
      </c>
      <c r="P63" s="52">
        <f t="shared" si="4"/>
        <v>81673.575180373722</v>
      </c>
    </row>
    <row r="64" spans="1:16" ht="37.5" customHeight="1" x14ac:dyDescent="0.2">
      <c r="A64" s="24" t="s">
        <v>1928</v>
      </c>
      <c r="B64" s="27"/>
      <c r="C64" s="63">
        <v>90383</v>
      </c>
      <c r="D64" s="31"/>
      <c r="E64" s="31">
        <v>1.22</v>
      </c>
      <c r="F64" s="31">
        <v>1.35</v>
      </c>
      <c r="G64" s="31">
        <v>1.3</v>
      </c>
      <c r="H64" s="31"/>
      <c r="I64" s="52">
        <f t="shared" si="21"/>
        <v>193519.04130000001</v>
      </c>
      <c r="J64" s="75">
        <v>0.83299999999999996</v>
      </c>
      <c r="K64" s="31">
        <v>0</v>
      </c>
      <c r="L64" s="31">
        <v>1.917</v>
      </c>
      <c r="M64" s="31">
        <f t="shared" si="1"/>
        <v>2.75</v>
      </c>
      <c r="N64" s="31">
        <f t="shared" si="22"/>
        <v>2.75</v>
      </c>
      <c r="O64" s="63">
        <f t="shared" si="3"/>
        <v>70370.560472727273</v>
      </c>
      <c r="P64" s="52">
        <f t="shared" si="4"/>
        <v>70370.560472727273</v>
      </c>
    </row>
    <row r="65" spans="1:16" ht="37.5" customHeight="1" x14ac:dyDescent="0.2">
      <c r="A65" s="24" t="s">
        <v>1929</v>
      </c>
      <c r="B65" s="27"/>
      <c r="C65" s="63">
        <v>27454</v>
      </c>
      <c r="D65" s="31">
        <v>1.4</v>
      </c>
      <c r="E65" s="31">
        <v>1.22</v>
      </c>
      <c r="F65" s="31">
        <v>1.35</v>
      </c>
      <c r="G65" s="31">
        <v>1.3</v>
      </c>
      <c r="H65" s="31">
        <v>1.0777000000000001</v>
      </c>
      <c r="I65" s="52">
        <f t="shared" si="21"/>
        <v>88688.742947532024</v>
      </c>
      <c r="J65" s="75">
        <v>0.76600000000000001</v>
      </c>
      <c r="K65" s="31">
        <v>0.216</v>
      </c>
      <c r="L65" s="31">
        <v>0.3</v>
      </c>
      <c r="M65" s="31">
        <f t="shared" si="1"/>
        <v>1.282</v>
      </c>
      <c r="N65" s="31">
        <v>1.282</v>
      </c>
      <c r="O65" s="63">
        <f t="shared" si="3"/>
        <v>69179.986698542925</v>
      </c>
      <c r="P65" s="52">
        <f t="shared" si="4"/>
        <v>69179.986698542925</v>
      </c>
    </row>
    <row r="66" spans="1:16" ht="37.5" customHeight="1" x14ac:dyDescent="0.2">
      <c r="A66" s="24" t="s">
        <v>1930</v>
      </c>
      <c r="B66" s="27"/>
      <c r="C66" s="63">
        <v>71544</v>
      </c>
      <c r="D66" s="31"/>
      <c r="E66" s="31">
        <v>1.22</v>
      </c>
      <c r="F66" s="31">
        <v>1.35</v>
      </c>
      <c r="G66" s="31">
        <v>1.3</v>
      </c>
      <c r="H66" s="31"/>
      <c r="I66" s="52">
        <f t="shared" si="21"/>
        <v>153182.8584</v>
      </c>
      <c r="J66" s="75">
        <v>0.216</v>
      </c>
      <c r="K66" s="31">
        <v>0</v>
      </c>
      <c r="L66" s="31">
        <v>0.3</v>
      </c>
      <c r="M66" s="31">
        <f t="shared" si="1"/>
        <v>0.51600000000000001</v>
      </c>
      <c r="N66" s="31">
        <f>J66+K66+2</f>
        <v>2.2160000000000002</v>
      </c>
      <c r="O66" s="63">
        <f t="shared" si="3"/>
        <v>296866.00465116277</v>
      </c>
      <c r="P66" s="52">
        <f t="shared" si="4"/>
        <v>69125.838628158832</v>
      </c>
    </row>
    <row r="67" spans="1:16" ht="37.5" customHeight="1" x14ac:dyDescent="0.2">
      <c r="A67" s="24" t="s">
        <v>1931</v>
      </c>
      <c r="B67" s="27"/>
      <c r="C67" s="63">
        <v>25992</v>
      </c>
      <c r="D67" s="31">
        <v>1.1499999999999999</v>
      </c>
      <c r="E67" s="31">
        <v>1.22</v>
      </c>
      <c r="F67" s="31">
        <v>1.35</v>
      </c>
      <c r="G67" s="31">
        <v>1.3</v>
      </c>
      <c r="H67" s="31">
        <v>1.0777000000000001</v>
      </c>
      <c r="I67" s="52">
        <f t="shared" si="21"/>
        <v>68971.929089076017</v>
      </c>
      <c r="J67" s="75">
        <v>0.56599999999999995</v>
      </c>
      <c r="K67" s="31">
        <v>0.2</v>
      </c>
      <c r="L67" s="31">
        <v>0.28299999999999997</v>
      </c>
      <c r="M67" s="31">
        <f t="shared" si="1"/>
        <v>1.0489999999999999</v>
      </c>
      <c r="N67" s="31">
        <f>M67</f>
        <v>1.0489999999999999</v>
      </c>
      <c r="O67" s="63">
        <f t="shared" si="3"/>
        <v>65750.170723618707</v>
      </c>
      <c r="P67" s="52">
        <f t="shared" si="4"/>
        <v>65750.170723618707</v>
      </c>
    </row>
    <row r="68" spans="1:16" ht="37.5" customHeight="1" x14ac:dyDescent="0.2">
      <c r="A68" s="24" t="s">
        <v>1932</v>
      </c>
      <c r="B68" s="27"/>
      <c r="C68" s="63">
        <v>839716</v>
      </c>
      <c r="D68" s="31"/>
      <c r="E68" s="31"/>
      <c r="F68" s="31"/>
      <c r="G68" s="31">
        <v>1.3</v>
      </c>
      <c r="H68" s="31"/>
      <c r="I68" s="52">
        <f t="shared" si="21"/>
        <v>1091630.8</v>
      </c>
      <c r="J68" s="75">
        <v>1.083</v>
      </c>
      <c r="K68" s="31">
        <v>1.1499999999999999</v>
      </c>
      <c r="L68" s="31">
        <v>1.5</v>
      </c>
      <c r="M68" s="31">
        <f t="shared" si="1"/>
        <v>3.7329999999999997</v>
      </c>
      <c r="N68" s="31">
        <v>17.283000000000001</v>
      </c>
      <c r="O68" s="63">
        <f t="shared" si="3"/>
        <v>292427.21671577822</v>
      </c>
      <c r="P68" s="52">
        <f t="shared" si="4"/>
        <v>63162.113059075389</v>
      </c>
    </row>
    <row r="69" spans="1:16" ht="37.5" customHeight="1" x14ac:dyDescent="0.2">
      <c r="A69" s="24" t="s">
        <v>1933</v>
      </c>
      <c r="B69" s="27"/>
      <c r="C69" s="63">
        <v>492051</v>
      </c>
      <c r="D69" s="31"/>
      <c r="E69" s="31"/>
      <c r="F69" s="31"/>
      <c r="G69" s="31">
        <v>1.3</v>
      </c>
      <c r="H69" s="31"/>
      <c r="I69" s="52">
        <f t="shared" si="21"/>
        <v>639666.30000000005</v>
      </c>
      <c r="J69" s="75">
        <v>0</v>
      </c>
      <c r="K69" s="31">
        <v>1.85</v>
      </c>
      <c r="L69" s="31">
        <v>0</v>
      </c>
      <c r="M69" s="31">
        <f t="shared" si="1"/>
        <v>1.85</v>
      </c>
      <c r="N69" s="31">
        <v>10.933</v>
      </c>
      <c r="O69" s="63">
        <f t="shared" si="3"/>
        <v>345765.56756756757</v>
      </c>
      <c r="P69" s="52">
        <f t="shared" si="4"/>
        <v>58507.847800237818</v>
      </c>
    </row>
    <row r="70" spans="1:16" ht="37.5" customHeight="1" x14ac:dyDescent="0.2">
      <c r="A70" s="24" t="s">
        <v>1934</v>
      </c>
      <c r="B70" s="27"/>
      <c r="C70" s="63">
        <f>24529*3</f>
        <v>73587</v>
      </c>
      <c r="D70" s="31"/>
      <c r="E70" s="31">
        <v>1.22</v>
      </c>
      <c r="F70" s="31">
        <v>1.35</v>
      </c>
      <c r="G70" s="31">
        <v>1.3</v>
      </c>
      <c r="H70" s="31"/>
      <c r="I70" s="52">
        <f t="shared" si="21"/>
        <v>157557.1257</v>
      </c>
      <c r="J70" s="75">
        <v>0.183</v>
      </c>
      <c r="K70" s="31">
        <v>0.86599999999999999</v>
      </c>
      <c r="L70" s="31">
        <v>0.3</v>
      </c>
      <c r="M70" s="31">
        <f t="shared" si="1"/>
        <v>1.349</v>
      </c>
      <c r="N70" s="31">
        <f>J70+K70+2.2</f>
        <v>3.2490000000000001</v>
      </c>
      <c r="O70" s="63">
        <f t="shared" si="3"/>
        <v>116795.4971830986</v>
      </c>
      <c r="P70" s="52">
        <f t="shared" si="4"/>
        <v>48494.036842105263</v>
      </c>
    </row>
    <row r="71" spans="1:16" ht="37.5" customHeight="1" x14ac:dyDescent="0.2">
      <c r="A71" s="24" t="s">
        <v>432</v>
      </c>
      <c r="B71" s="27"/>
      <c r="C71" s="63">
        <v>142984</v>
      </c>
      <c r="D71" s="31"/>
      <c r="E71" s="31">
        <v>1.22</v>
      </c>
      <c r="F71" s="31">
        <v>1.35</v>
      </c>
      <c r="G71" s="31">
        <v>1.3</v>
      </c>
      <c r="H71" s="31"/>
      <c r="I71" s="52">
        <f t="shared" si="21"/>
        <v>306143.04240000003</v>
      </c>
      <c r="J71" s="75">
        <v>0.23300000000000001</v>
      </c>
      <c r="K71" s="31">
        <v>0</v>
      </c>
      <c r="L71" s="31">
        <v>0.3</v>
      </c>
      <c r="M71" s="31">
        <f t="shared" si="1"/>
        <v>0.53300000000000003</v>
      </c>
      <c r="N71" s="31">
        <v>7.0170000000000003</v>
      </c>
      <c r="O71" s="63">
        <f t="shared" si="3"/>
        <v>574377.1902439025</v>
      </c>
      <c r="P71" s="52">
        <f t="shared" si="4"/>
        <v>43628.764771269773</v>
      </c>
    </row>
    <row r="72" spans="1:16" ht="37.5" customHeight="1" x14ac:dyDescent="0.2">
      <c r="A72" s="24" t="s">
        <v>1935</v>
      </c>
      <c r="B72" s="27"/>
      <c r="C72" s="63">
        <f>13686*2*1.15</f>
        <v>31477.8</v>
      </c>
      <c r="D72" s="31">
        <v>1.617</v>
      </c>
      <c r="E72" s="31">
        <v>1.1000000000000001</v>
      </c>
      <c r="F72" s="31">
        <v>1.35</v>
      </c>
      <c r="G72" s="31">
        <v>1.3</v>
      </c>
      <c r="H72" s="31">
        <v>1.0777000000000001</v>
      </c>
      <c r="I72" s="52">
        <f t="shared" si="21"/>
        <v>105896.61557435963</v>
      </c>
      <c r="J72" s="75">
        <v>0.16600000000000001</v>
      </c>
      <c r="K72" s="31">
        <f>0.416</f>
        <v>0.41599999999999998</v>
      </c>
      <c r="L72" s="31">
        <v>0.316</v>
      </c>
      <c r="M72" s="31">
        <f t="shared" si="1"/>
        <v>0.89799999999999991</v>
      </c>
      <c r="N72" s="31">
        <f>J72+K72+1.716</f>
        <v>2.298</v>
      </c>
      <c r="O72" s="63">
        <f t="shared" si="3"/>
        <v>117924.9616640976</v>
      </c>
      <c r="P72" s="52">
        <f t="shared" si="4"/>
        <v>46082.078143759631</v>
      </c>
    </row>
    <row r="73" spans="1:16" ht="37.5" customHeight="1" x14ac:dyDescent="0.2">
      <c r="A73" s="24" t="s">
        <v>1936</v>
      </c>
      <c r="B73" s="27"/>
      <c r="C73" s="63">
        <v>47458</v>
      </c>
      <c r="D73" s="31"/>
      <c r="E73" s="31"/>
      <c r="F73" s="31"/>
      <c r="G73" s="31">
        <v>1.3</v>
      </c>
      <c r="H73" s="31"/>
      <c r="I73" s="52">
        <f t="shared" si="21"/>
        <v>61695.4</v>
      </c>
      <c r="J73" s="75">
        <v>0</v>
      </c>
      <c r="K73" s="31">
        <v>1.1659999999999999</v>
      </c>
      <c r="L73" s="31">
        <v>0</v>
      </c>
      <c r="M73" s="31">
        <f t="shared" si="1"/>
        <v>1.1659999999999999</v>
      </c>
      <c r="N73" s="31">
        <v>1.6</v>
      </c>
      <c r="O73" s="63">
        <f t="shared" si="3"/>
        <v>52912.00686106347</v>
      </c>
      <c r="P73" s="52">
        <f t="shared" si="4"/>
        <v>38559.625</v>
      </c>
    </row>
    <row r="74" spans="1:16" ht="37.5" customHeight="1" x14ac:dyDescent="0.2">
      <c r="A74" s="24" t="s">
        <v>1937</v>
      </c>
      <c r="B74" s="27"/>
      <c r="C74" s="63">
        <v>76784</v>
      </c>
      <c r="D74" s="31"/>
      <c r="E74" s="31"/>
      <c r="F74" s="31"/>
      <c r="G74" s="31">
        <v>1.3</v>
      </c>
      <c r="H74" s="31"/>
      <c r="I74" s="52">
        <f t="shared" si="21"/>
        <v>99819.199999999997</v>
      </c>
      <c r="J74" s="75">
        <v>0</v>
      </c>
      <c r="K74" s="31">
        <v>1.1659999999999999</v>
      </c>
      <c r="L74" s="31">
        <v>0</v>
      </c>
      <c r="M74" s="31">
        <f t="shared" si="1"/>
        <v>1.1659999999999999</v>
      </c>
      <c r="N74" s="31">
        <v>2.85</v>
      </c>
      <c r="O74" s="63">
        <f t="shared" si="3"/>
        <v>85608.233276157815</v>
      </c>
      <c r="P74" s="52">
        <f t="shared" si="4"/>
        <v>35024.280701754382</v>
      </c>
    </row>
    <row r="75" spans="1:16" ht="37.5" customHeight="1" x14ac:dyDescent="0.2">
      <c r="A75" s="24" t="s">
        <v>1938</v>
      </c>
      <c r="B75" s="27"/>
      <c r="C75" s="63">
        <v>175002</v>
      </c>
      <c r="D75" s="31"/>
      <c r="E75" s="31">
        <v>1.17</v>
      </c>
      <c r="F75" s="31">
        <v>1.35</v>
      </c>
      <c r="G75" s="31">
        <v>1.3</v>
      </c>
      <c r="H75" s="31"/>
      <c r="I75" s="52">
        <f t="shared" si="21"/>
        <v>359340.3567</v>
      </c>
      <c r="J75" s="75">
        <v>0.25</v>
      </c>
      <c r="K75" s="31">
        <v>0.38300000000000001</v>
      </c>
      <c r="L75" s="31">
        <v>0.36599999999999999</v>
      </c>
      <c r="M75" s="31">
        <f t="shared" si="1"/>
        <v>0.999</v>
      </c>
      <c r="N75" s="31">
        <f>J75+10.199</f>
        <v>10.449</v>
      </c>
      <c r="O75" s="63">
        <f t="shared" si="3"/>
        <v>359700.05675675673</v>
      </c>
      <c r="P75" s="52">
        <f t="shared" si="4"/>
        <v>34389.927906976744</v>
      </c>
    </row>
    <row r="76" spans="1:16" ht="37.5" customHeight="1" x14ac:dyDescent="0.2">
      <c r="A76" s="24" t="s">
        <v>1939</v>
      </c>
      <c r="B76" s="27"/>
      <c r="C76" s="63">
        <v>36825</v>
      </c>
      <c r="D76" s="31"/>
      <c r="E76" s="31"/>
      <c r="F76" s="31"/>
      <c r="G76" s="31">
        <v>1.3</v>
      </c>
      <c r="H76" s="31"/>
      <c r="I76" s="52">
        <f t="shared" si="21"/>
        <v>47872.5</v>
      </c>
      <c r="J76" s="75">
        <v>0</v>
      </c>
      <c r="K76" s="31">
        <v>1.1659999999999999</v>
      </c>
      <c r="L76" s="31">
        <v>0</v>
      </c>
      <c r="M76" s="31">
        <f t="shared" si="1"/>
        <v>1.1659999999999999</v>
      </c>
      <c r="N76" s="31">
        <v>1.716</v>
      </c>
      <c r="O76" s="63">
        <f t="shared" si="3"/>
        <v>41057.032590051458</v>
      </c>
      <c r="P76" s="52">
        <f t="shared" si="4"/>
        <v>27897.727272727272</v>
      </c>
    </row>
    <row r="77" spans="1:16" ht="37.5" customHeight="1" x14ac:dyDescent="0.2">
      <c r="A77" s="24" t="s">
        <v>1940</v>
      </c>
      <c r="B77" s="27"/>
      <c r="C77" s="63">
        <f>247877*0.6</f>
        <v>148726.19999999998</v>
      </c>
      <c r="D77" s="31"/>
      <c r="E77" s="31"/>
      <c r="F77" s="31"/>
      <c r="G77" s="31">
        <v>1.3</v>
      </c>
      <c r="H77" s="31"/>
      <c r="I77" s="52">
        <f t="shared" si="21"/>
        <v>193344.06</v>
      </c>
      <c r="J77" s="75">
        <v>0</v>
      </c>
      <c r="K77" s="31">
        <v>1.1659999999999999</v>
      </c>
      <c r="L77" s="31">
        <v>0</v>
      </c>
      <c r="M77" s="31">
        <f t="shared" si="1"/>
        <v>1.1659999999999999</v>
      </c>
      <c r="N77" s="31">
        <v>6.9829999999999997</v>
      </c>
      <c r="O77" s="63">
        <f t="shared" si="3"/>
        <v>165818.23327615781</v>
      </c>
      <c r="P77" s="52">
        <f t="shared" si="4"/>
        <v>27687.821853071746</v>
      </c>
    </row>
    <row r="78" spans="1:16" ht="37.5" customHeight="1" x14ac:dyDescent="0.2">
      <c r="A78" s="24" t="s">
        <v>1941</v>
      </c>
      <c r="B78" s="27"/>
      <c r="C78" s="63">
        <v>110839</v>
      </c>
      <c r="D78" s="31"/>
      <c r="E78" s="31"/>
      <c r="F78" s="31"/>
      <c r="G78" s="31">
        <v>1.3</v>
      </c>
      <c r="H78" s="31"/>
      <c r="I78" s="52">
        <f t="shared" si="21"/>
        <v>144090.70000000001</v>
      </c>
      <c r="J78" s="75">
        <v>0</v>
      </c>
      <c r="K78" s="31">
        <v>1.1659999999999999</v>
      </c>
      <c r="L78" s="31">
        <v>0</v>
      </c>
      <c r="M78" s="31">
        <f t="shared" si="1"/>
        <v>1.1659999999999999</v>
      </c>
      <c r="N78" s="31">
        <v>6.133</v>
      </c>
      <c r="O78" s="63">
        <f t="shared" si="3"/>
        <v>123576.92967409951</v>
      </c>
      <c r="P78" s="52">
        <f t="shared" si="4"/>
        <v>23494.325778574923</v>
      </c>
    </row>
    <row r="79" spans="1:16" ht="37.5" customHeight="1" x14ac:dyDescent="0.2">
      <c r="A79" s="24" t="s">
        <v>1942</v>
      </c>
      <c r="B79" s="27"/>
      <c r="C79" s="63">
        <v>247877</v>
      </c>
      <c r="D79" s="31"/>
      <c r="E79" s="31"/>
      <c r="F79" s="31"/>
      <c r="G79" s="31">
        <v>1.3</v>
      </c>
      <c r="H79" s="31"/>
      <c r="I79" s="52">
        <f t="shared" si="21"/>
        <v>322240.10000000003</v>
      </c>
      <c r="J79" s="75">
        <v>0</v>
      </c>
      <c r="K79" s="31">
        <f>1.166+6.416</f>
        <v>7.5820000000000007</v>
      </c>
      <c r="L79" s="31">
        <v>0</v>
      </c>
      <c r="M79" s="31">
        <f t="shared" si="1"/>
        <v>7.5820000000000007</v>
      </c>
      <c r="N79" s="31">
        <v>17.981999999999999</v>
      </c>
      <c r="O79" s="63">
        <f t="shared" si="3"/>
        <v>42500.672645739913</v>
      </c>
      <c r="P79" s="52">
        <f t="shared" si="4"/>
        <v>17920.147925703484</v>
      </c>
    </row>
    <row r="80" spans="1:16" ht="37.5" customHeight="1" x14ac:dyDescent="0.2">
      <c r="A80" s="24" t="s">
        <v>1943</v>
      </c>
      <c r="B80" s="27"/>
      <c r="C80" s="63">
        <v>107928</v>
      </c>
      <c r="D80" s="31"/>
      <c r="E80" s="31"/>
      <c r="F80" s="31"/>
      <c r="G80" s="31">
        <v>1.3</v>
      </c>
      <c r="H80" s="31"/>
      <c r="I80" s="52">
        <f t="shared" si="21"/>
        <v>140306.4</v>
      </c>
      <c r="J80" s="75">
        <v>0</v>
      </c>
      <c r="K80" s="31">
        <v>1.1659999999999999</v>
      </c>
      <c r="L80" s="31">
        <v>0</v>
      </c>
      <c r="M80" s="31">
        <f t="shared" si="1"/>
        <v>1.1659999999999999</v>
      </c>
      <c r="N80" s="31">
        <v>7.9</v>
      </c>
      <c r="O80" s="63">
        <f t="shared" si="3"/>
        <v>120331.38936535163</v>
      </c>
      <c r="P80" s="52">
        <f t="shared" si="4"/>
        <v>17760.303797468354</v>
      </c>
    </row>
    <row r="81" spans="1:16" ht="37.5" customHeight="1" x14ac:dyDescent="0.2">
      <c r="A81" s="24" t="s">
        <v>1944</v>
      </c>
      <c r="B81" s="27"/>
      <c r="C81" s="63">
        <v>87799</v>
      </c>
      <c r="D81" s="31"/>
      <c r="E81" s="31">
        <v>1.1000000000000001</v>
      </c>
      <c r="F81" s="31">
        <v>1.35</v>
      </c>
      <c r="G81" s="31">
        <v>1.3</v>
      </c>
      <c r="H81" s="31"/>
      <c r="I81" s="52">
        <f t="shared" si="21"/>
        <v>169495.96950000004</v>
      </c>
      <c r="J81" s="75">
        <v>0.3</v>
      </c>
      <c r="K81" s="31">
        <v>0</v>
      </c>
      <c r="L81" s="31">
        <v>0.26600000000000001</v>
      </c>
      <c r="M81" s="31">
        <f t="shared" si="1"/>
        <v>0.56600000000000006</v>
      </c>
      <c r="N81" s="31">
        <v>10.166</v>
      </c>
      <c r="O81" s="63">
        <f t="shared" si="3"/>
        <v>299462.84363957599</v>
      </c>
      <c r="P81" s="52">
        <f t="shared" si="4"/>
        <v>16672.828005115094</v>
      </c>
    </row>
    <row r="82" spans="1:16" ht="37.5" customHeight="1" x14ac:dyDescent="0.2">
      <c r="A82" s="24" t="s">
        <v>1945</v>
      </c>
      <c r="B82" s="27"/>
      <c r="C82" s="63">
        <v>43078</v>
      </c>
      <c r="D82" s="31"/>
      <c r="E82" s="31">
        <v>1.1000000000000001</v>
      </c>
      <c r="F82" s="31">
        <v>1.35</v>
      </c>
      <c r="G82" s="31">
        <v>1.3</v>
      </c>
      <c r="H82" s="31"/>
      <c r="I82" s="52">
        <f t="shared" si="21"/>
        <v>83162.079000000012</v>
      </c>
      <c r="J82" s="75">
        <v>0.3</v>
      </c>
      <c r="K82" s="31">
        <v>0</v>
      </c>
      <c r="L82" s="31">
        <v>0.26600000000000001</v>
      </c>
      <c r="M82" s="31">
        <f t="shared" si="1"/>
        <v>0.56600000000000006</v>
      </c>
      <c r="N82" s="31">
        <v>5.0659999999999998</v>
      </c>
      <c r="O82" s="63">
        <f t="shared" si="3"/>
        <v>146929.46819787988</v>
      </c>
      <c r="P82" s="52">
        <f t="shared" si="4"/>
        <v>16415.728187919467</v>
      </c>
    </row>
  </sheetData>
  <autoFilter ref="A1:P82" xr:uid="{00000000-0009-0000-0000-00000C000000}"/>
  <customSheetViews>
    <customSheetView guid="{F1712641-7503-4E7D-B80E-2CC45834AA23}" filter="1" showAutoFilter="1">
      <pageMargins left="0.7" right="0.7" top="0.75" bottom="0.75" header="0.3" footer="0.3"/>
      <autoFilter ref="A1:P82" xr:uid="{E851AF98-07A8-4AB6-BF8A-C9B56206D64C}"/>
    </customSheetView>
    <customSheetView guid="{776AA23B-62DC-426E-8F80-AAF02C1B3437}" filter="1" showAutoFilter="1">
      <pageMargins left="0.7" right="0.7" top="0.75" bottom="0.75" header="0.3" footer="0.3"/>
      <autoFilter ref="A1:P82" xr:uid="{4FACD0DB-F25D-4C09-9023-9D0C9A2C4185}"/>
    </customSheetView>
  </customSheetViews>
  <conditionalFormatting sqref="B2:B82 C39:F41 H39:H41 C80:D81 H80:H81 E80:E82">
    <cfRule type="containsText" dxfId="14" priority="1" operator="containsText" text="!">
      <formula>NOT(ISERROR(SEARCH(("!"),(B2))))</formula>
    </cfRule>
  </conditionalFormatting>
  <conditionalFormatting sqref="O2:O82">
    <cfRule type="colorScale" priority="2">
      <colorScale>
        <cfvo type="min"/>
        <cfvo type="percentile" val="50"/>
        <cfvo type="max"/>
        <color rgb="FFE67C73"/>
        <color rgb="FFFFD666"/>
        <color rgb="FF57BB8A"/>
      </colorScale>
    </cfRule>
  </conditionalFormatting>
  <conditionalFormatting sqref="P2:P82">
    <cfRule type="colorScale" priority="3">
      <colorScale>
        <cfvo type="min"/>
        <cfvo type="percentile" val="50"/>
        <cfvo type="max"/>
        <color rgb="FFE67C73"/>
        <color rgb="FFFFD666"/>
        <color rgb="FF57BB8A"/>
      </colorScale>
    </cfRule>
  </conditionalFormatting>
  <pageMargins left="0.7" right="0.7" top="0.75" bottom="0.75" header="0.3" footer="0.3"/>
  <drawing r:id="rId1"/>
  <legacyDrawing r:id="rId2"/>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00FFFF"/>
    <outlinePr summaryBelow="0" summaryRight="0"/>
  </sheetPr>
  <dimension ref="A1:Z40"/>
  <sheetViews>
    <sheetView tabSelected="1" zoomScale="70" zoomScaleNormal="70" workbookViewId="0">
      <pane xSplit="2" ySplit="2" topLeftCell="C15" activePane="bottomRight" state="frozen"/>
      <selection pane="topRight" activeCell="C1" sqref="C1"/>
      <selection pane="bottomLeft" activeCell="A3" sqref="A3"/>
      <selection pane="bottomRight" activeCell="F40" sqref="F40"/>
    </sheetView>
  </sheetViews>
  <sheetFormatPr defaultColWidth="12.5703125" defaultRowHeight="15.75" customHeight="1" x14ac:dyDescent="0.2"/>
  <cols>
    <col min="1" max="1" width="9.42578125" customWidth="1"/>
    <col min="2" max="2" width="10.140625" customWidth="1"/>
    <col min="3" max="3" width="12.42578125" bestFit="1" customWidth="1"/>
    <col min="4" max="5" width="7.5703125" bestFit="1" customWidth="1"/>
    <col min="6" max="6" width="11.42578125" bestFit="1" customWidth="1"/>
    <col min="7" max="7" width="8.7109375" bestFit="1" customWidth="1"/>
    <col min="8" max="8" width="10.140625" bestFit="1" customWidth="1"/>
    <col min="9" max="9" width="14" bestFit="1" customWidth="1"/>
    <col min="10" max="10" width="11.140625" customWidth="1"/>
    <col min="11" max="11" width="10" hidden="1" customWidth="1"/>
    <col min="12" max="12" width="9.42578125" hidden="1" customWidth="1"/>
    <col min="13" max="13" width="21" customWidth="1"/>
    <col min="14" max="14" width="8.140625" customWidth="1"/>
    <col min="15" max="15" width="7.42578125" customWidth="1"/>
    <col min="16" max="16" width="8.5703125" customWidth="1"/>
    <col min="17" max="17" width="19.7109375" customWidth="1"/>
    <col min="18" max="18" width="26.5703125" customWidth="1"/>
    <col min="19" max="19" width="30" customWidth="1"/>
    <col min="20" max="21" width="26.5703125" customWidth="1"/>
    <col min="22" max="23" width="31.42578125" customWidth="1"/>
    <col min="24" max="24" width="27.85546875" customWidth="1"/>
    <col min="25" max="25" width="11.5703125" customWidth="1"/>
    <col min="26" max="26" width="11.7109375" customWidth="1"/>
  </cols>
  <sheetData>
    <row r="1" spans="1:26" ht="19.5" customHeight="1" x14ac:dyDescent="0.2">
      <c r="A1" s="165" t="s">
        <v>572</v>
      </c>
      <c r="B1" s="158"/>
      <c r="C1" s="173" t="s">
        <v>1946</v>
      </c>
      <c r="D1" s="158"/>
      <c r="E1" s="158"/>
      <c r="F1" s="158"/>
      <c r="G1" s="158"/>
      <c r="H1" s="158"/>
      <c r="I1" s="158"/>
      <c r="J1" s="158"/>
      <c r="K1" s="174" t="s">
        <v>1947</v>
      </c>
      <c r="L1" s="158"/>
      <c r="M1" s="158"/>
      <c r="N1" s="158"/>
      <c r="O1" s="158"/>
      <c r="P1" s="158"/>
      <c r="Q1" s="158"/>
      <c r="R1" s="175" t="s">
        <v>1948</v>
      </c>
      <c r="S1" s="158"/>
      <c r="T1" s="158"/>
      <c r="U1" s="158"/>
      <c r="V1" s="158"/>
      <c r="W1" s="158"/>
      <c r="X1" s="158"/>
      <c r="Y1" s="158"/>
      <c r="Z1" s="158"/>
    </row>
    <row r="2" spans="1:26" ht="31.5" customHeight="1" x14ac:dyDescent="0.2">
      <c r="A2" s="1" t="s">
        <v>1949</v>
      </c>
      <c r="B2" s="1" t="s">
        <v>1950</v>
      </c>
      <c r="C2" s="1" t="s">
        <v>1951</v>
      </c>
      <c r="D2" s="77"/>
      <c r="E2" s="77"/>
      <c r="F2" s="1" t="s">
        <v>1952</v>
      </c>
      <c r="G2" s="1" t="s">
        <v>1953</v>
      </c>
      <c r="H2" s="1" t="s">
        <v>441</v>
      </c>
      <c r="I2" s="1" t="s">
        <v>442</v>
      </c>
      <c r="J2" s="78" t="s">
        <v>363</v>
      </c>
      <c r="K2" s="79" t="s">
        <v>1954</v>
      </c>
      <c r="L2" s="1" t="s">
        <v>1955</v>
      </c>
      <c r="M2" s="1" t="s">
        <v>1956</v>
      </c>
      <c r="N2" s="1" t="s">
        <v>1957</v>
      </c>
      <c r="O2" s="1" t="s">
        <v>1958</v>
      </c>
      <c r="P2" s="1" t="s">
        <v>1959</v>
      </c>
      <c r="Q2" s="78" t="s">
        <v>1960</v>
      </c>
      <c r="R2" s="28" t="s">
        <v>1961</v>
      </c>
      <c r="S2" s="28" t="s">
        <v>1962</v>
      </c>
      <c r="T2" s="28" t="s">
        <v>1963</v>
      </c>
      <c r="U2" s="28" t="s">
        <v>1964</v>
      </c>
      <c r="V2" s="28" t="s">
        <v>1965</v>
      </c>
      <c r="W2" s="28" t="s">
        <v>1966</v>
      </c>
      <c r="X2" s="1" t="s">
        <v>1967</v>
      </c>
      <c r="Y2" s="1" t="s">
        <v>1968</v>
      </c>
      <c r="Z2" s="80" t="s">
        <v>1969</v>
      </c>
    </row>
    <row r="3" spans="1:26" ht="45" customHeight="1" x14ac:dyDescent="0.2">
      <c r="A3" s="24" t="s">
        <v>1970</v>
      </c>
      <c r="B3" s="24" t="s">
        <v>1971</v>
      </c>
      <c r="C3" s="69">
        <v>4422481</v>
      </c>
      <c r="D3" s="69">
        <f>(2638+11781)/1.25</f>
        <v>11535.2</v>
      </c>
      <c r="E3" s="69">
        <f>76665/1.25</f>
        <v>61332</v>
      </c>
      <c r="F3" s="81">
        <f t="shared" ref="F3:F21" si="0">D3/26199</f>
        <v>0.44029161418374752</v>
      </c>
      <c r="G3" s="81">
        <f t="shared" ref="G3:G40" si="1">(E3/69648)/(D3/26199)</f>
        <v>2.000037152932403</v>
      </c>
      <c r="H3" s="156">
        <f>ROUND((C3*26199/D3)/1000, 0)*1000</f>
        <v>10044000</v>
      </c>
      <c r="I3" s="156">
        <f>ROUND((C3*69648/E3)/1000, 0)*1000</f>
        <v>5022000</v>
      </c>
      <c r="J3" s="83">
        <f t="shared" ref="J3:J40" si="2">MIN(H3:I3)</f>
        <v>5022000</v>
      </c>
      <c r="K3" s="84" t="s">
        <v>1972</v>
      </c>
      <c r="L3" s="24" t="s">
        <v>1973</v>
      </c>
      <c r="M3" s="24" t="s">
        <v>1974</v>
      </c>
      <c r="N3" s="24" t="s">
        <v>1975</v>
      </c>
      <c r="O3" s="24" t="s">
        <v>1976</v>
      </c>
      <c r="P3" s="24" t="s">
        <v>1977</v>
      </c>
      <c r="Q3" s="85" t="s">
        <v>1978</v>
      </c>
      <c r="R3" s="86" t="s">
        <v>1979</v>
      </c>
      <c r="S3" s="86" t="s">
        <v>1980</v>
      </c>
      <c r="T3" s="86" t="s">
        <v>1981</v>
      </c>
      <c r="U3" s="87" t="s">
        <v>1982</v>
      </c>
      <c r="V3" s="87" t="s">
        <v>1982</v>
      </c>
      <c r="W3" s="87" t="s">
        <v>1982</v>
      </c>
      <c r="X3" s="24" t="s">
        <v>1983</v>
      </c>
      <c r="Y3" s="88">
        <v>9.5</v>
      </c>
      <c r="Z3" s="69">
        <f t="shared" ref="Z3:Z40" si="3">I3/Y3</f>
        <v>528631.57894736843</v>
      </c>
    </row>
    <row r="4" spans="1:26" ht="45" customHeight="1" x14ac:dyDescent="0.2">
      <c r="A4" s="24" t="s">
        <v>1970</v>
      </c>
      <c r="B4" s="24" t="s">
        <v>1984</v>
      </c>
      <c r="C4" s="69">
        <v>3873758</v>
      </c>
      <c r="D4" s="69">
        <f>14542/1.25</f>
        <v>11633.6</v>
      </c>
      <c r="E4" s="69">
        <f>77315/1.25</f>
        <v>61852</v>
      </c>
      <c r="F4" s="81">
        <f t="shared" si="0"/>
        <v>0.44404748272834843</v>
      </c>
      <c r="G4" s="81">
        <f t="shared" si="1"/>
        <v>1.9999340979444884</v>
      </c>
      <c r="H4" s="156">
        <f t="shared" ref="H4:H40" si="4">ROUND((C4*26199/D4)/1000, 0)*1000</f>
        <v>8724000</v>
      </c>
      <c r="I4" s="156">
        <f t="shared" ref="I4:I40" si="5">ROUND((C4*69648/E4)/1000, 0)*1000</f>
        <v>4362000</v>
      </c>
      <c r="J4" s="83">
        <f t="shared" si="2"/>
        <v>4362000</v>
      </c>
      <c r="K4" s="84" t="s">
        <v>1972</v>
      </c>
      <c r="L4" s="24" t="s">
        <v>1973</v>
      </c>
      <c r="M4" s="24" t="s">
        <v>1985</v>
      </c>
      <c r="N4" s="24" t="s">
        <v>1986</v>
      </c>
      <c r="O4" s="24" t="s">
        <v>1987</v>
      </c>
      <c r="P4" s="24" t="s">
        <v>1988</v>
      </c>
      <c r="Q4" s="85" t="s">
        <v>1978</v>
      </c>
      <c r="R4" s="86" t="s">
        <v>216</v>
      </c>
      <c r="S4" s="86" t="s">
        <v>1989</v>
      </c>
      <c r="T4" s="86" t="s">
        <v>1990</v>
      </c>
      <c r="U4" s="87" t="s">
        <v>1991</v>
      </c>
      <c r="V4" s="87" t="s">
        <v>1991</v>
      </c>
      <c r="W4" s="87" t="s">
        <v>1991</v>
      </c>
      <c r="X4" s="24" t="s">
        <v>1992</v>
      </c>
      <c r="Y4" s="88">
        <v>8.8979999999999997</v>
      </c>
      <c r="Z4" s="69">
        <f t="shared" si="3"/>
        <v>490222.52191503713</v>
      </c>
    </row>
    <row r="5" spans="1:26" ht="45" customHeight="1" x14ac:dyDescent="0.2">
      <c r="A5" s="24" t="s">
        <v>1970</v>
      </c>
      <c r="B5" s="24" t="s">
        <v>1993</v>
      </c>
      <c r="C5" s="69">
        <v>2020823</v>
      </c>
      <c r="D5" s="69">
        <f>(11980+2683)/1.25</f>
        <v>11730.4</v>
      </c>
      <c r="E5" s="69">
        <f>23390/1.25</f>
        <v>18712</v>
      </c>
      <c r="F5" s="81">
        <f t="shared" si="0"/>
        <v>0.4477422802397038</v>
      </c>
      <c r="G5" s="81">
        <f t="shared" si="1"/>
        <v>0.60004449024354334</v>
      </c>
      <c r="H5" s="156">
        <f t="shared" si="4"/>
        <v>4513000</v>
      </c>
      <c r="I5" s="156">
        <f t="shared" si="5"/>
        <v>7522000</v>
      </c>
      <c r="J5" s="83">
        <f t="shared" si="2"/>
        <v>4513000</v>
      </c>
      <c r="K5" s="84" t="s">
        <v>1994</v>
      </c>
      <c r="L5" s="24" t="s">
        <v>1973</v>
      </c>
      <c r="M5" s="24" t="s">
        <v>593</v>
      </c>
      <c r="N5" s="24" t="s">
        <v>1995</v>
      </c>
      <c r="O5" s="24" t="s">
        <v>1996</v>
      </c>
      <c r="P5" s="24" t="s">
        <v>1977</v>
      </c>
      <c r="Q5" s="85" t="s">
        <v>1978</v>
      </c>
      <c r="R5" s="86" t="s">
        <v>1979</v>
      </c>
      <c r="S5" s="86" t="s">
        <v>1979</v>
      </c>
      <c r="T5" s="86" t="s">
        <v>1979</v>
      </c>
      <c r="U5" s="87" t="s">
        <v>1997</v>
      </c>
      <c r="V5" s="87" t="s">
        <v>1998</v>
      </c>
      <c r="W5" s="87" t="s">
        <v>1998</v>
      </c>
      <c r="X5" s="24" t="s">
        <v>1999</v>
      </c>
      <c r="Y5" s="88">
        <v>3.3</v>
      </c>
      <c r="Z5" s="69">
        <f t="shared" si="3"/>
        <v>2279393.9393939395</v>
      </c>
    </row>
    <row r="6" spans="1:26" ht="45" customHeight="1" x14ac:dyDescent="0.2">
      <c r="A6" s="24" t="s">
        <v>1970</v>
      </c>
      <c r="B6" s="24" t="s">
        <v>2000</v>
      </c>
      <c r="C6" s="69">
        <v>2587488</v>
      </c>
      <c r="D6" s="69">
        <f>(12180+2728)/1.25</f>
        <v>11926.4</v>
      </c>
      <c r="E6" s="69">
        <f>47559/1.25/2</f>
        <v>19023.599999999999</v>
      </c>
      <c r="F6" s="81">
        <f t="shared" si="0"/>
        <v>0.45522348181228289</v>
      </c>
      <c r="G6" s="81">
        <f t="shared" si="1"/>
        <v>0.60001125875043004</v>
      </c>
      <c r="H6" s="156">
        <f t="shared" si="4"/>
        <v>5684000</v>
      </c>
      <c r="I6" s="156">
        <f t="shared" si="5"/>
        <v>9473000</v>
      </c>
      <c r="J6" s="83">
        <f t="shared" si="2"/>
        <v>5684000</v>
      </c>
      <c r="K6" s="84" t="s">
        <v>2001</v>
      </c>
      <c r="L6" s="24" t="s">
        <v>1973</v>
      </c>
      <c r="M6" s="24" t="s">
        <v>2002</v>
      </c>
      <c r="N6" s="24" t="s">
        <v>1975</v>
      </c>
      <c r="O6" s="24" t="s">
        <v>2003</v>
      </c>
      <c r="P6" s="24" t="s">
        <v>1977</v>
      </c>
      <c r="Q6" s="85" t="s">
        <v>1978</v>
      </c>
      <c r="R6" s="86" t="s">
        <v>2004</v>
      </c>
      <c r="S6" s="86" t="s">
        <v>2005</v>
      </c>
      <c r="T6" s="86" t="s">
        <v>2006</v>
      </c>
      <c r="U6" s="87" t="s">
        <v>2007</v>
      </c>
      <c r="V6" s="87" t="s">
        <v>2007</v>
      </c>
      <c r="W6" s="87" t="s">
        <v>2007</v>
      </c>
      <c r="X6" s="24" t="s">
        <v>2008</v>
      </c>
      <c r="Y6" s="88">
        <v>3.2</v>
      </c>
      <c r="Z6" s="69">
        <f t="shared" si="3"/>
        <v>2960312.5</v>
      </c>
    </row>
    <row r="7" spans="1:26" ht="45" customHeight="1" x14ac:dyDescent="0.2">
      <c r="A7" s="24" t="s">
        <v>2009</v>
      </c>
      <c r="B7" s="24" t="s">
        <v>2010</v>
      </c>
      <c r="C7" s="69">
        <v>3652862</v>
      </c>
      <c r="D7" s="69">
        <f>(19169+4293)/1.25</f>
        <v>18769.599999999999</v>
      </c>
      <c r="E7" s="69">
        <f>62372/1.25</f>
        <v>49897.599999999999</v>
      </c>
      <c r="F7" s="81">
        <f t="shared" si="0"/>
        <v>0.71642429100347338</v>
      </c>
      <c r="G7" s="81">
        <f t="shared" si="1"/>
        <v>1.0000016229301911</v>
      </c>
      <c r="H7" s="156">
        <f t="shared" si="4"/>
        <v>5099000</v>
      </c>
      <c r="I7" s="156">
        <f t="shared" si="5"/>
        <v>5099000</v>
      </c>
      <c r="J7" s="83">
        <f t="shared" si="2"/>
        <v>5099000</v>
      </c>
      <c r="K7" s="84" t="s">
        <v>2011</v>
      </c>
      <c r="L7" s="24" t="s">
        <v>2012</v>
      </c>
      <c r="M7" s="24" t="s">
        <v>2013</v>
      </c>
      <c r="N7" s="24" t="s">
        <v>1975</v>
      </c>
      <c r="O7" s="24" t="s">
        <v>1987</v>
      </c>
      <c r="P7" s="24" t="s">
        <v>1988</v>
      </c>
      <c r="Q7" s="85" t="s">
        <v>2014</v>
      </c>
      <c r="R7" s="86" t="s">
        <v>2015</v>
      </c>
      <c r="S7" s="87" t="s">
        <v>2015</v>
      </c>
      <c r="T7" s="86" t="s">
        <v>2015</v>
      </c>
      <c r="U7" s="87" t="s">
        <v>2016</v>
      </c>
      <c r="V7" s="87" t="s">
        <v>2017</v>
      </c>
      <c r="W7" s="87" t="s">
        <v>2017</v>
      </c>
      <c r="X7" s="24" t="s">
        <v>2018</v>
      </c>
      <c r="Y7" s="88">
        <v>12.1</v>
      </c>
      <c r="Z7" s="69">
        <f t="shared" si="3"/>
        <v>421404.95867768594</v>
      </c>
    </row>
    <row r="8" spans="1:26" ht="45" customHeight="1" x14ac:dyDescent="0.2">
      <c r="A8" s="24" t="s">
        <v>2009</v>
      </c>
      <c r="B8" s="24" t="s">
        <v>2019</v>
      </c>
      <c r="C8" s="69">
        <v>4844678</v>
      </c>
      <c r="D8" s="69">
        <f>23706/1.25</f>
        <v>18964.8</v>
      </c>
      <c r="E8" s="69">
        <f>63021/1.25</f>
        <v>50416.800000000003</v>
      </c>
      <c r="F8" s="81">
        <f t="shared" si="0"/>
        <v>0.72387495705942972</v>
      </c>
      <c r="G8" s="81">
        <f t="shared" si="1"/>
        <v>1.0000070808391772</v>
      </c>
      <c r="H8" s="156">
        <f t="shared" si="4"/>
        <v>6693000</v>
      </c>
      <c r="I8" s="156">
        <f t="shared" si="5"/>
        <v>6693000</v>
      </c>
      <c r="J8" s="83">
        <f t="shared" si="2"/>
        <v>6693000</v>
      </c>
      <c r="K8" s="84" t="s">
        <v>2020</v>
      </c>
      <c r="L8" s="24" t="s">
        <v>2012</v>
      </c>
      <c r="M8" s="24" t="s">
        <v>2021</v>
      </c>
      <c r="N8" s="24" t="s">
        <v>1995</v>
      </c>
      <c r="O8" s="24" t="s">
        <v>1976</v>
      </c>
      <c r="P8" s="24" t="s">
        <v>2022</v>
      </c>
      <c r="Q8" s="85" t="s">
        <v>2014</v>
      </c>
      <c r="R8" s="86" t="s">
        <v>2023</v>
      </c>
      <c r="S8" s="87" t="s">
        <v>2024</v>
      </c>
      <c r="T8" s="86" t="s">
        <v>2025</v>
      </c>
      <c r="U8" s="87" t="s">
        <v>2026</v>
      </c>
      <c r="V8" s="87" t="s">
        <v>2026</v>
      </c>
      <c r="W8" s="87" t="s">
        <v>2026</v>
      </c>
      <c r="X8" s="24" t="s">
        <v>2027</v>
      </c>
      <c r="Y8" s="88">
        <v>14.6</v>
      </c>
      <c r="Z8" s="69">
        <f t="shared" si="3"/>
        <v>458424.65753424657</v>
      </c>
    </row>
    <row r="9" spans="1:26" ht="45" customHeight="1" x14ac:dyDescent="0.2">
      <c r="A9" s="24" t="s">
        <v>2028</v>
      </c>
      <c r="B9" s="24" t="s">
        <v>2029</v>
      </c>
      <c r="C9" s="69">
        <v>667301.43999999994</v>
      </c>
      <c r="D9" s="69">
        <f>22010/1.25</f>
        <v>17608</v>
      </c>
      <c r="E9" s="69">
        <f>41505/1.25</f>
        <v>33204</v>
      </c>
      <c r="F9" s="81">
        <f t="shared" si="0"/>
        <v>0.67208672086720866</v>
      </c>
      <c r="G9" s="81">
        <f t="shared" si="1"/>
        <v>0.70934325048353752</v>
      </c>
      <c r="H9" s="156">
        <f t="shared" si="4"/>
        <v>993000</v>
      </c>
      <c r="I9" s="156">
        <f t="shared" si="5"/>
        <v>1400000</v>
      </c>
      <c r="J9" s="83">
        <f t="shared" si="2"/>
        <v>993000</v>
      </c>
      <c r="K9" s="84" t="s">
        <v>2030</v>
      </c>
      <c r="L9" s="24" t="s">
        <v>2031</v>
      </c>
      <c r="M9" s="24" t="s">
        <v>2032</v>
      </c>
      <c r="N9" s="24" t="s">
        <v>1995</v>
      </c>
      <c r="O9" s="24" t="s">
        <v>2003</v>
      </c>
      <c r="P9" s="24" t="s">
        <v>1977</v>
      </c>
      <c r="Q9" s="85" t="s">
        <v>1987</v>
      </c>
      <c r="R9" s="86" t="s">
        <v>2033</v>
      </c>
      <c r="S9" s="87" t="s">
        <v>2034</v>
      </c>
      <c r="T9" s="87" t="s">
        <v>2035</v>
      </c>
      <c r="U9" s="37" t="s">
        <v>234</v>
      </c>
      <c r="V9" s="37" t="s">
        <v>234</v>
      </c>
      <c r="W9" s="86" t="s">
        <v>2036</v>
      </c>
      <c r="X9" s="24" t="s">
        <v>2037</v>
      </c>
      <c r="Y9" s="88">
        <v>8.1959999999999997</v>
      </c>
      <c r="Z9" s="69">
        <f t="shared" si="3"/>
        <v>170815.03172279161</v>
      </c>
    </row>
    <row r="10" spans="1:26" ht="45" customHeight="1" x14ac:dyDescent="0.2">
      <c r="A10" s="24" t="s">
        <v>2028</v>
      </c>
      <c r="B10" s="24" t="s">
        <v>2038</v>
      </c>
      <c r="C10" s="69">
        <v>2432075</v>
      </c>
      <c r="D10" s="69">
        <f>(25158+5634)/1.25</f>
        <v>24633.599999999999</v>
      </c>
      <c r="E10" s="69">
        <f>81863*1.25</f>
        <v>102328.75</v>
      </c>
      <c r="F10" s="81">
        <f t="shared" si="0"/>
        <v>0.94024962784839106</v>
      </c>
      <c r="G10" s="81">
        <f t="shared" si="1"/>
        <v>1.5625929084442431</v>
      </c>
      <c r="H10" s="156">
        <f t="shared" si="4"/>
        <v>2587000</v>
      </c>
      <c r="I10" s="156">
        <f t="shared" si="5"/>
        <v>1655000</v>
      </c>
      <c r="J10" s="83">
        <f t="shared" si="2"/>
        <v>1655000</v>
      </c>
      <c r="K10" s="84" t="s">
        <v>2039</v>
      </c>
      <c r="L10" s="24" t="s">
        <v>2031</v>
      </c>
      <c r="M10" s="24" t="s">
        <v>2040</v>
      </c>
      <c r="N10" s="24" t="s">
        <v>2041</v>
      </c>
      <c r="O10" s="24" t="s">
        <v>1976</v>
      </c>
      <c r="P10" s="24" t="s">
        <v>1977</v>
      </c>
      <c r="Q10" s="85" t="s">
        <v>1987</v>
      </c>
      <c r="R10" s="86" t="s">
        <v>1979</v>
      </c>
      <c r="S10" s="37" t="s">
        <v>2042</v>
      </c>
      <c r="T10" s="87" t="s">
        <v>2043</v>
      </c>
      <c r="U10" s="37" t="s">
        <v>2042</v>
      </c>
      <c r="V10" s="37" t="s">
        <v>2042</v>
      </c>
      <c r="W10" s="87" t="s">
        <v>2044</v>
      </c>
      <c r="X10" s="24" t="s">
        <v>2045</v>
      </c>
      <c r="Y10" s="88">
        <v>3.0659999999999998</v>
      </c>
      <c r="Z10" s="69">
        <f t="shared" si="3"/>
        <v>539791.25896934117</v>
      </c>
    </row>
    <row r="11" spans="1:26" ht="45" customHeight="1" x14ac:dyDescent="0.2">
      <c r="A11" s="24" t="s">
        <v>2028</v>
      </c>
      <c r="B11" s="24" t="s">
        <v>2046</v>
      </c>
      <c r="C11" s="69">
        <v>9089697</v>
      </c>
      <c r="D11" s="69">
        <f>31282/1.25</f>
        <v>25025.599999999999</v>
      </c>
      <c r="E11" s="69">
        <f>83162/1.25</f>
        <v>66529.600000000006</v>
      </c>
      <c r="F11" s="81">
        <f t="shared" si="0"/>
        <v>0.95521203099354934</v>
      </c>
      <c r="G11" s="81">
        <f t="shared" si="1"/>
        <v>1.0000149178736495</v>
      </c>
      <c r="H11" s="156">
        <f t="shared" si="4"/>
        <v>9516000</v>
      </c>
      <c r="I11" s="156">
        <f t="shared" si="5"/>
        <v>9516000</v>
      </c>
      <c r="J11" s="83">
        <f t="shared" si="2"/>
        <v>9516000</v>
      </c>
      <c r="K11" s="84" t="s">
        <v>2047</v>
      </c>
      <c r="L11" s="24" t="s">
        <v>2031</v>
      </c>
      <c r="M11" s="24" t="s">
        <v>2048</v>
      </c>
      <c r="N11" s="24" t="s">
        <v>2041</v>
      </c>
      <c r="O11" s="24" t="s">
        <v>1987</v>
      </c>
      <c r="P11" s="24" t="s">
        <v>1975</v>
      </c>
      <c r="Q11" s="85" t="s">
        <v>1987</v>
      </c>
      <c r="R11" s="86" t="s">
        <v>2049</v>
      </c>
      <c r="S11" s="86" t="s">
        <v>2050</v>
      </c>
      <c r="T11" s="87" t="s">
        <v>2051</v>
      </c>
      <c r="U11" s="86" t="s">
        <v>2052</v>
      </c>
      <c r="V11" s="37" t="s">
        <v>2053</v>
      </c>
      <c r="W11" s="87" t="s">
        <v>2051</v>
      </c>
      <c r="X11" s="24" t="s">
        <v>2054</v>
      </c>
      <c r="Y11" s="88">
        <v>11.866</v>
      </c>
      <c r="Z11" s="69">
        <f t="shared" si="3"/>
        <v>801955.16602056299</v>
      </c>
    </row>
    <row r="12" spans="1:26" ht="45" customHeight="1" x14ac:dyDescent="0.2">
      <c r="A12" s="24" t="s">
        <v>2055</v>
      </c>
      <c r="B12" s="24" t="s">
        <v>2056</v>
      </c>
      <c r="C12" s="69">
        <v>6300377</v>
      </c>
      <c r="D12" s="69">
        <v>26199</v>
      </c>
      <c r="E12" s="69">
        <v>69648</v>
      </c>
      <c r="F12" s="81">
        <f t="shared" si="0"/>
        <v>1</v>
      </c>
      <c r="G12" s="81">
        <f t="shared" si="1"/>
        <v>1</v>
      </c>
      <c r="H12" s="156">
        <f t="shared" si="4"/>
        <v>6300000</v>
      </c>
      <c r="I12" s="156">
        <f t="shared" si="5"/>
        <v>6300000</v>
      </c>
      <c r="J12" s="83">
        <f t="shared" si="2"/>
        <v>6300000</v>
      </c>
      <c r="K12" s="84" t="s">
        <v>2057</v>
      </c>
      <c r="L12" s="24" t="s">
        <v>2012</v>
      </c>
      <c r="M12" s="24" t="s">
        <v>2058</v>
      </c>
      <c r="N12" s="24" t="s">
        <v>2041</v>
      </c>
      <c r="O12" s="24" t="s">
        <v>1987</v>
      </c>
      <c r="P12" s="24" t="s">
        <v>1988</v>
      </c>
      <c r="Q12" s="85" t="s">
        <v>1987</v>
      </c>
      <c r="R12" s="86" t="s">
        <v>1979</v>
      </c>
      <c r="S12" s="86" t="s">
        <v>2059</v>
      </c>
      <c r="T12" s="87" t="s">
        <v>2060</v>
      </c>
      <c r="U12" s="87" t="s">
        <v>2060</v>
      </c>
      <c r="V12" s="87" t="s">
        <v>2060</v>
      </c>
      <c r="W12" s="87" t="s">
        <v>2060</v>
      </c>
      <c r="X12" s="24" t="s">
        <v>2061</v>
      </c>
      <c r="Y12" s="88">
        <v>6.0330000000000004</v>
      </c>
      <c r="Z12" s="69">
        <f t="shared" si="3"/>
        <v>1044256.58876181</v>
      </c>
    </row>
    <row r="13" spans="1:26" ht="45" customHeight="1" x14ac:dyDescent="0.2">
      <c r="A13" s="24" t="s">
        <v>2055</v>
      </c>
      <c r="B13" s="24" t="s">
        <v>2062</v>
      </c>
      <c r="C13" s="69">
        <v>9019662</v>
      </c>
      <c r="D13" s="69">
        <f>32992/1.25</f>
        <v>26393.599999999999</v>
      </c>
      <c r="E13" s="69">
        <f>87710/1.25</f>
        <v>70168</v>
      </c>
      <c r="F13" s="81">
        <f t="shared" si="0"/>
        <v>1.0074277644184892</v>
      </c>
      <c r="G13" s="81">
        <f t="shared" si="1"/>
        <v>1.0000380681430781</v>
      </c>
      <c r="H13" s="156">
        <f t="shared" si="4"/>
        <v>8953000</v>
      </c>
      <c r="I13" s="156">
        <f t="shared" si="5"/>
        <v>8953000</v>
      </c>
      <c r="J13" s="83">
        <f t="shared" si="2"/>
        <v>8953000</v>
      </c>
      <c r="K13" s="84" t="s">
        <v>2020</v>
      </c>
      <c r="L13" s="24" t="s">
        <v>2012</v>
      </c>
      <c r="M13" s="24" t="s">
        <v>2063</v>
      </c>
      <c r="N13" s="24" t="s">
        <v>1995</v>
      </c>
      <c r="O13" s="24" t="s">
        <v>2064</v>
      </c>
      <c r="P13" s="24" t="s">
        <v>1977</v>
      </c>
      <c r="Q13" s="85" t="s">
        <v>1987</v>
      </c>
      <c r="R13" s="86" t="s">
        <v>2065</v>
      </c>
      <c r="S13" s="86" t="s">
        <v>2066</v>
      </c>
      <c r="T13" s="86" t="s">
        <v>2067</v>
      </c>
      <c r="U13" s="86" t="s">
        <v>2068</v>
      </c>
      <c r="V13" s="86" t="s">
        <v>2069</v>
      </c>
      <c r="W13" s="86" t="s">
        <v>2069</v>
      </c>
      <c r="X13" s="24" t="s">
        <v>2070</v>
      </c>
      <c r="Y13" s="88">
        <v>5.0999999999999996</v>
      </c>
      <c r="Z13" s="69">
        <f t="shared" si="3"/>
        <v>1755490.1960784316</v>
      </c>
    </row>
    <row r="14" spans="1:26" ht="45" customHeight="1" x14ac:dyDescent="0.2">
      <c r="A14" s="24" t="s">
        <v>2071</v>
      </c>
      <c r="B14" s="24" t="s">
        <v>2072</v>
      </c>
      <c r="C14" s="69">
        <v>28726134</v>
      </c>
      <c r="D14" s="69">
        <f>(62297+13950)/1.25</f>
        <v>60997.599999999999</v>
      </c>
      <c r="E14" s="69">
        <f>202707/1.25</f>
        <v>162165.6</v>
      </c>
      <c r="F14" s="81">
        <f t="shared" si="0"/>
        <v>2.3282415359364861</v>
      </c>
      <c r="G14" s="81">
        <f t="shared" si="1"/>
        <v>1.0000507747829999</v>
      </c>
      <c r="H14" s="156">
        <f t="shared" si="4"/>
        <v>12338000</v>
      </c>
      <c r="I14" s="156">
        <f t="shared" si="5"/>
        <v>12337000</v>
      </c>
      <c r="J14" s="83">
        <f t="shared" si="2"/>
        <v>12337000</v>
      </c>
      <c r="K14" s="84" t="s">
        <v>2073</v>
      </c>
      <c r="L14" s="24" t="s">
        <v>2074</v>
      </c>
      <c r="M14" s="24" t="s">
        <v>2075</v>
      </c>
      <c r="N14" s="24" t="s">
        <v>1975</v>
      </c>
      <c r="O14" s="24" t="s">
        <v>2003</v>
      </c>
      <c r="P14" s="24" t="s">
        <v>1977</v>
      </c>
      <c r="Q14" s="85" t="s">
        <v>2076</v>
      </c>
      <c r="R14" s="86" t="s">
        <v>1979</v>
      </c>
      <c r="S14" s="86" t="s">
        <v>2077</v>
      </c>
      <c r="T14" s="86" t="s">
        <v>2078</v>
      </c>
      <c r="U14" s="86" t="s">
        <v>2078</v>
      </c>
      <c r="V14" s="37" t="s">
        <v>2079</v>
      </c>
      <c r="W14" s="37" t="s">
        <v>2079</v>
      </c>
      <c r="X14" s="24" t="s">
        <v>2080</v>
      </c>
      <c r="Y14" s="88">
        <v>14.231999999999999</v>
      </c>
      <c r="Z14" s="69">
        <f t="shared" si="3"/>
        <v>866849.3535694211</v>
      </c>
    </row>
    <row r="15" spans="1:26" ht="45" customHeight="1" x14ac:dyDescent="0.2">
      <c r="A15" s="24" t="s">
        <v>2071</v>
      </c>
      <c r="B15" s="24" t="s">
        <v>2081</v>
      </c>
      <c r="C15" s="69">
        <v>15396873</v>
      </c>
      <c r="D15" s="69">
        <f>38612/1.25</f>
        <v>30889.599999999999</v>
      </c>
      <c r="E15" s="69">
        <f>102654/1.25</f>
        <v>82123.199999999997</v>
      </c>
      <c r="F15" s="81">
        <f t="shared" si="0"/>
        <v>1.1790373678384671</v>
      </c>
      <c r="G15" s="81">
        <f t="shared" si="1"/>
        <v>1.0000682607036175</v>
      </c>
      <c r="H15" s="156">
        <f t="shared" si="4"/>
        <v>13059000</v>
      </c>
      <c r="I15" s="156">
        <f t="shared" si="5"/>
        <v>13058000</v>
      </c>
      <c r="J15" s="83">
        <f t="shared" si="2"/>
        <v>13058000</v>
      </c>
      <c r="K15" s="84" t="s">
        <v>593</v>
      </c>
      <c r="L15" s="24" t="s">
        <v>2082</v>
      </c>
      <c r="M15" s="24" t="s">
        <v>2083</v>
      </c>
      <c r="N15" s="24" t="s">
        <v>1995</v>
      </c>
      <c r="O15" s="24" t="s">
        <v>2084</v>
      </c>
      <c r="P15" s="24" t="s">
        <v>1975</v>
      </c>
      <c r="Q15" s="85" t="s">
        <v>2076</v>
      </c>
      <c r="R15" s="86" t="s">
        <v>2085</v>
      </c>
      <c r="S15" s="86" t="s">
        <v>2086</v>
      </c>
      <c r="T15" s="86" t="s">
        <v>2087</v>
      </c>
      <c r="U15" s="86" t="s">
        <v>2087</v>
      </c>
      <c r="V15" s="86" t="s">
        <v>2087</v>
      </c>
      <c r="W15" s="86" t="s">
        <v>2087</v>
      </c>
      <c r="X15" s="24" t="s">
        <v>2088</v>
      </c>
      <c r="Y15" s="88">
        <v>13.465999999999999</v>
      </c>
      <c r="Z15" s="69">
        <f t="shared" si="3"/>
        <v>969701.47036982037</v>
      </c>
    </row>
    <row r="16" spans="1:26" ht="45" customHeight="1" x14ac:dyDescent="0.2">
      <c r="A16" s="24" t="s">
        <v>2089</v>
      </c>
      <c r="B16" s="24" t="s">
        <v>2090</v>
      </c>
      <c r="C16" s="69">
        <v>19163406</v>
      </c>
      <c r="D16" s="69">
        <f>(31847+7132)/1.25</f>
        <v>31183.200000000001</v>
      </c>
      <c r="E16" s="69">
        <v>82903</v>
      </c>
      <c r="F16" s="81">
        <f t="shared" si="0"/>
        <v>1.1902439024390243</v>
      </c>
      <c r="G16" s="81">
        <f t="shared" si="1"/>
        <v>1.0000590204419035</v>
      </c>
      <c r="H16" s="156">
        <f t="shared" si="4"/>
        <v>16100000</v>
      </c>
      <c r="I16" s="156">
        <f t="shared" si="5"/>
        <v>16099000</v>
      </c>
      <c r="J16" s="83">
        <f t="shared" si="2"/>
        <v>16099000</v>
      </c>
      <c r="K16" s="84" t="s">
        <v>2091</v>
      </c>
      <c r="L16" s="24" t="s">
        <v>2092</v>
      </c>
      <c r="M16" s="24" t="s">
        <v>2093</v>
      </c>
      <c r="N16" s="24" t="s">
        <v>1995</v>
      </c>
      <c r="O16" s="24" t="s">
        <v>1987</v>
      </c>
      <c r="P16" s="24" t="s">
        <v>1977</v>
      </c>
      <c r="Q16" s="85" t="s">
        <v>1987</v>
      </c>
      <c r="R16" s="86" t="s">
        <v>2094</v>
      </c>
      <c r="S16" s="86" t="s">
        <v>2095</v>
      </c>
      <c r="T16" s="86" t="s">
        <v>2096</v>
      </c>
      <c r="U16" s="86" t="s">
        <v>2096</v>
      </c>
      <c r="V16" s="86" t="s">
        <v>2096</v>
      </c>
      <c r="W16" s="86" t="s">
        <v>2097</v>
      </c>
      <c r="X16" s="24" t="s">
        <v>2098</v>
      </c>
      <c r="Y16" s="88">
        <v>23.882999999999999</v>
      </c>
      <c r="Z16" s="69">
        <f t="shared" si="3"/>
        <v>674077.79592178541</v>
      </c>
    </row>
    <row r="17" spans="1:26" ht="45" customHeight="1" x14ac:dyDescent="0.2">
      <c r="A17" s="24" t="s">
        <v>2089</v>
      </c>
      <c r="B17" s="24" t="s">
        <v>2099</v>
      </c>
      <c r="C17" s="69">
        <v>16292094</v>
      </c>
      <c r="D17" s="69">
        <f>39101/1.25</f>
        <v>31280.799999999999</v>
      </c>
      <c r="E17" s="69">
        <f>103952/1.25</f>
        <v>83161.600000000006</v>
      </c>
      <c r="F17" s="81">
        <f t="shared" si="0"/>
        <v>1.1939692354670026</v>
      </c>
      <c r="G17" s="81">
        <f t="shared" si="1"/>
        <v>1.0000484704907511</v>
      </c>
      <c r="H17" s="156">
        <f t="shared" si="4"/>
        <v>13645000</v>
      </c>
      <c r="I17" s="156">
        <f t="shared" si="5"/>
        <v>13645000</v>
      </c>
      <c r="J17" s="83">
        <f t="shared" si="2"/>
        <v>13645000</v>
      </c>
      <c r="K17" s="84" t="s">
        <v>1994</v>
      </c>
      <c r="L17" s="24" t="s">
        <v>2092</v>
      </c>
      <c r="M17" s="24" t="s">
        <v>2100</v>
      </c>
      <c r="N17" s="24" t="s">
        <v>1995</v>
      </c>
      <c r="O17" s="24" t="s">
        <v>2064</v>
      </c>
      <c r="P17" s="24" t="s">
        <v>1988</v>
      </c>
      <c r="Q17" s="85" t="s">
        <v>1987</v>
      </c>
      <c r="R17" s="86" t="s">
        <v>2101</v>
      </c>
      <c r="S17" s="86" t="s">
        <v>2102</v>
      </c>
      <c r="T17" s="86" t="s">
        <v>2103</v>
      </c>
      <c r="U17" s="86" t="s">
        <v>2103</v>
      </c>
      <c r="V17" s="86" t="s">
        <v>2103</v>
      </c>
      <c r="W17" s="37" t="s">
        <v>2104</v>
      </c>
      <c r="X17" s="24" t="s">
        <v>2105</v>
      </c>
      <c r="Y17" s="88">
        <v>35.383000000000003</v>
      </c>
      <c r="Z17" s="69">
        <f t="shared" si="3"/>
        <v>385637.17039256135</v>
      </c>
    </row>
    <row r="18" spans="1:26" ht="45" customHeight="1" x14ac:dyDescent="0.2">
      <c r="A18" s="24" t="s">
        <v>2089</v>
      </c>
      <c r="B18" s="24" t="s">
        <v>2106</v>
      </c>
      <c r="C18" s="69">
        <v>6699666</v>
      </c>
      <c r="D18" s="69">
        <f>(32047+7177)/1.25</f>
        <v>31379.200000000001</v>
      </c>
      <c r="E18" s="69">
        <f>104277/1.25</f>
        <v>83421.600000000006</v>
      </c>
      <c r="F18" s="81">
        <f t="shared" si="0"/>
        <v>1.1977251040116035</v>
      </c>
      <c r="G18" s="81">
        <f t="shared" si="1"/>
        <v>1.0000292733211062</v>
      </c>
      <c r="H18" s="156">
        <f t="shared" si="4"/>
        <v>5594000</v>
      </c>
      <c r="I18" s="156">
        <f t="shared" si="5"/>
        <v>5593000</v>
      </c>
      <c r="J18" s="83">
        <f t="shared" si="2"/>
        <v>5593000</v>
      </c>
      <c r="K18" s="84" t="s">
        <v>2107</v>
      </c>
      <c r="L18" s="24" t="s">
        <v>2092</v>
      </c>
      <c r="M18" s="24" t="s">
        <v>2108</v>
      </c>
      <c r="N18" s="24" t="s">
        <v>1995</v>
      </c>
      <c r="O18" s="24" t="s">
        <v>1996</v>
      </c>
      <c r="P18" s="24" t="s">
        <v>1975</v>
      </c>
      <c r="Q18" s="85" t="s">
        <v>1987</v>
      </c>
      <c r="R18" s="86" t="s">
        <v>2109</v>
      </c>
      <c r="S18" s="86" t="s">
        <v>2110</v>
      </c>
      <c r="T18" s="86" t="s">
        <v>2111</v>
      </c>
      <c r="U18" s="86" t="s">
        <v>2112</v>
      </c>
      <c r="V18" s="86" t="s">
        <v>2113</v>
      </c>
      <c r="W18" s="37" t="s">
        <v>2114</v>
      </c>
      <c r="X18" s="24" t="s">
        <v>2115</v>
      </c>
      <c r="Y18" s="88">
        <v>8.65</v>
      </c>
      <c r="Z18" s="69">
        <f t="shared" si="3"/>
        <v>646589.59537572251</v>
      </c>
    </row>
    <row r="19" spans="1:26" ht="45" customHeight="1" x14ac:dyDescent="0.2">
      <c r="A19" s="24" t="s">
        <v>2089</v>
      </c>
      <c r="B19" s="24" t="s">
        <v>2116</v>
      </c>
      <c r="C19" s="69">
        <v>16340439</v>
      </c>
      <c r="D19" s="69">
        <f>35747/1.25</f>
        <v>28597.599999999999</v>
      </c>
      <c r="E19" s="69">
        <f>104602/1.25</f>
        <v>83681.600000000006</v>
      </c>
      <c r="F19" s="81">
        <f t="shared" si="0"/>
        <v>1.0915531127142257</v>
      </c>
      <c r="G19" s="81">
        <f t="shared" si="1"/>
        <v>1.1007189747065569</v>
      </c>
      <c r="H19" s="156">
        <f t="shared" si="4"/>
        <v>14970000</v>
      </c>
      <c r="I19" s="156">
        <f t="shared" si="5"/>
        <v>13600000</v>
      </c>
      <c r="J19" s="83">
        <f t="shared" si="2"/>
        <v>13600000</v>
      </c>
      <c r="K19" s="84" t="s">
        <v>593</v>
      </c>
      <c r="L19" s="24" t="s">
        <v>2092</v>
      </c>
      <c r="M19" s="24" t="s">
        <v>2117</v>
      </c>
      <c r="N19" s="24" t="s">
        <v>1995</v>
      </c>
      <c r="O19" s="24" t="s">
        <v>2064</v>
      </c>
      <c r="P19" s="24" t="s">
        <v>2022</v>
      </c>
      <c r="Q19" s="85" t="s">
        <v>1987</v>
      </c>
      <c r="R19" s="86" t="s">
        <v>2118</v>
      </c>
      <c r="S19" s="86" t="s">
        <v>2111</v>
      </c>
      <c r="T19" s="86" t="s">
        <v>2112</v>
      </c>
      <c r="U19" s="86" t="s">
        <v>2112</v>
      </c>
      <c r="V19" s="86" t="s">
        <v>2113</v>
      </c>
      <c r="W19" s="37" t="s">
        <v>2119</v>
      </c>
      <c r="X19" s="24" t="s">
        <v>2120</v>
      </c>
      <c r="Y19" s="88">
        <v>17.733000000000001</v>
      </c>
      <c r="Z19" s="69">
        <f t="shared" si="3"/>
        <v>766931.70924265496</v>
      </c>
    </row>
    <row r="20" spans="1:26" ht="45" customHeight="1" x14ac:dyDescent="0.2">
      <c r="A20" s="24" t="s">
        <v>2121</v>
      </c>
      <c r="B20" s="24" t="s">
        <v>2122</v>
      </c>
      <c r="C20" s="69">
        <v>12959925</v>
      </c>
      <c r="D20" s="69">
        <f>(36340+8138)/1.25</f>
        <v>35582.400000000001</v>
      </c>
      <c r="E20" s="69">
        <f>118246/1.25</f>
        <v>94596.800000000003</v>
      </c>
      <c r="F20" s="81">
        <f t="shared" si="0"/>
        <v>1.358158708347647</v>
      </c>
      <c r="G20" s="81">
        <f t="shared" si="1"/>
        <v>1.0000397733394952</v>
      </c>
      <c r="H20" s="156">
        <f t="shared" si="4"/>
        <v>9542000</v>
      </c>
      <c r="I20" s="156">
        <f t="shared" si="5"/>
        <v>9542000</v>
      </c>
      <c r="J20" s="83">
        <f t="shared" si="2"/>
        <v>9542000</v>
      </c>
      <c r="K20" s="84" t="s">
        <v>2123</v>
      </c>
      <c r="L20" s="24" t="s">
        <v>2124</v>
      </c>
      <c r="M20" s="24" t="s">
        <v>2125</v>
      </c>
      <c r="N20" s="24" t="s">
        <v>1995</v>
      </c>
      <c r="O20" s="24" t="s">
        <v>1987</v>
      </c>
      <c r="P20" s="24" t="s">
        <v>1988</v>
      </c>
      <c r="Q20" s="85" t="s">
        <v>2126</v>
      </c>
      <c r="R20" s="86" t="s">
        <v>2127</v>
      </c>
      <c r="S20" s="86" t="s">
        <v>2128</v>
      </c>
      <c r="T20" s="86" t="s">
        <v>2129</v>
      </c>
      <c r="U20" s="86" t="s">
        <v>2130</v>
      </c>
      <c r="V20" s="86" t="s">
        <v>2130</v>
      </c>
      <c r="W20" s="86" t="s">
        <v>2130</v>
      </c>
      <c r="X20" s="24" t="s">
        <v>2131</v>
      </c>
      <c r="Y20" s="88">
        <v>13.201000000000001</v>
      </c>
      <c r="Z20" s="69">
        <f t="shared" si="3"/>
        <v>722824.02848269069</v>
      </c>
    </row>
    <row r="21" spans="1:26" ht="45" customHeight="1" x14ac:dyDescent="0.2">
      <c r="A21" s="24" t="s">
        <v>2121</v>
      </c>
      <c r="B21" s="24" t="s">
        <v>2132</v>
      </c>
      <c r="C21" s="69">
        <v>11923560</v>
      </c>
      <c r="D21" s="69">
        <f>44722/1.25</f>
        <v>35777.599999999999</v>
      </c>
      <c r="E21" s="69">
        <f>118896/1.25</f>
        <v>95116.800000000003</v>
      </c>
      <c r="F21" s="81">
        <f t="shared" si="0"/>
        <v>1.3656093744036031</v>
      </c>
      <c r="G21" s="81">
        <f t="shared" si="1"/>
        <v>1.000050869432729</v>
      </c>
      <c r="H21" s="156">
        <f t="shared" si="4"/>
        <v>8731000</v>
      </c>
      <c r="I21" s="156">
        <f t="shared" si="5"/>
        <v>8731000</v>
      </c>
      <c r="J21" s="83">
        <f t="shared" si="2"/>
        <v>8731000</v>
      </c>
      <c r="K21" s="84" t="s">
        <v>2133</v>
      </c>
      <c r="L21" s="24" t="s">
        <v>593</v>
      </c>
      <c r="M21" s="24" t="s">
        <v>2134</v>
      </c>
      <c r="N21" s="24" t="s">
        <v>1986</v>
      </c>
      <c r="O21" s="24" t="s">
        <v>1987</v>
      </c>
      <c r="P21" s="24" t="s">
        <v>1977</v>
      </c>
      <c r="Q21" s="85" t="s">
        <v>2126</v>
      </c>
      <c r="R21" s="86" t="s">
        <v>2135</v>
      </c>
      <c r="S21" s="86" t="s">
        <v>2136</v>
      </c>
      <c r="T21" s="86" t="s">
        <v>2137</v>
      </c>
      <c r="U21" s="86" t="s">
        <v>2137</v>
      </c>
      <c r="V21" s="86" t="s">
        <v>2138</v>
      </c>
      <c r="W21" s="86" t="s">
        <v>2139</v>
      </c>
      <c r="X21" s="24" t="s">
        <v>2140</v>
      </c>
      <c r="Y21" s="88">
        <v>19.25</v>
      </c>
      <c r="Z21" s="69">
        <f t="shared" si="3"/>
        <v>453558.44155844155</v>
      </c>
    </row>
    <row r="22" spans="1:26" ht="45" customHeight="1" x14ac:dyDescent="0.2">
      <c r="A22" s="24" t="s">
        <v>2141</v>
      </c>
      <c r="B22" s="24" t="s">
        <v>2142</v>
      </c>
      <c r="C22" s="69">
        <v>13364009</v>
      </c>
      <c r="D22" s="69">
        <f>42772/1.25</f>
        <v>34217.599999999999</v>
      </c>
      <c r="E22" s="69">
        <f>113712/1.25</f>
        <v>90969.600000000006</v>
      </c>
      <c r="F22" s="81">
        <f>D22/26199</f>
        <v>1.3060651169891979</v>
      </c>
      <c r="G22" s="81">
        <f t="shared" si="1"/>
        <v>1.0000525118585926</v>
      </c>
      <c r="H22" s="156">
        <f t="shared" si="4"/>
        <v>10232000</v>
      </c>
      <c r="I22" s="156">
        <f t="shared" si="5"/>
        <v>10232000</v>
      </c>
      <c r="J22" s="83">
        <f t="shared" si="2"/>
        <v>10232000</v>
      </c>
      <c r="K22" s="84"/>
      <c r="L22" s="24"/>
      <c r="M22" s="24" t="s">
        <v>2143</v>
      </c>
      <c r="N22" s="24" t="s">
        <v>1995</v>
      </c>
      <c r="O22" s="24" t="s">
        <v>2064</v>
      </c>
      <c r="P22" s="24" t="s">
        <v>1988</v>
      </c>
      <c r="Q22" s="85" t="s">
        <v>1987</v>
      </c>
      <c r="R22" s="86" t="s">
        <v>2144</v>
      </c>
      <c r="S22" s="86" t="s">
        <v>2144</v>
      </c>
      <c r="T22" s="86" t="s">
        <v>2144</v>
      </c>
      <c r="U22" s="86" t="s">
        <v>2144</v>
      </c>
      <c r="V22" s="86" t="s">
        <v>2144</v>
      </c>
      <c r="W22" s="86" t="s">
        <v>2144</v>
      </c>
      <c r="X22" s="24" t="s">
        <v>2144</v>
      </c>
      <c r="Y22" s="24" t="s">
        <v>2145</v>
      </c>
      <c r="Z22" s="69" t="e">
        <f t="shared" si="3"/>
        <v>#VALUE!</v>
      </c>
    </row>
    <row r="23" spans="1:26" ht="45" customHeight="1" x14ac:dyDescent="0.2">
      <c r="A23" s="24" t="s">
        <v>2141</v>
      </c>
      <c r="B23" s="24" t="s">
        <v>2146</v>
      </c>
      <c r="C23" s="69">
        <v>21041796</v>
      </c>
      <c r="D23" s="69">
        <f>26199*1.32</f>
        <v>34582.68</v>
      </c>
      <c r="E23" s="69">
        <f>69648*1.32</f>
        <v>91935.360000000001</v>
      </c>
      <c r="F23" s="81">
        <v>1.32</v>
      </c>
      <c r="G23" s="81">
        <f t="shared" si="1"/>
        <v>1</v>
      </c>
      <c r="H23" s="156">
        <f t="shared" si="4"/>
        <v>15941000</v>
      </c>
      <c r="I23" s="156">
        <f t="shared" si="5"/>
        <v>15941000</v>
      </c>
      <c r="J23" s="83">
        <f t="shared" si="2"/>
        <v>15941000</v>
      </c>
      <c r="K23" s="84"/>
      <c r="L23" s="24"/>
      <c r="M23" s="24" t="s">
        <v>2147</v>
      </c>
      <c r="N23" s="24" t="s">
        <v>1995</v>
      </c>
      <c r="O23" s="24" t="s">
        <v>2064</v>
      </c>
      <c r="P23" s="24" t="s">
        <v>1988</v>
      </c>
      <c r="Q23" s="85" t="s">
        <v>1987</v>
      </c>
      <c r="R23" s="86" t="s">
        <v>2144</v>
      </c>
      <c r="S23" s="86" t="s">
        <v>2144</v>
      </c>
      <c r="T23" s="86" t="s">
        <v>2144</v>
      </c>
      <c r="U23" s="86" t="s">
        <v>2144</v>
      </c>
      <c r="V23" s="86" t="s">
        <v>2144</v>
      </c>
      <c r="W23" s="86" t="s">
        <v>2144</v>
      </c>
      <c r="X23" s="24" t="s">
        <v>2144</v>
      </c>
      <c r="Y23" s="24" t="s">
        <v>2145</v>
      </c>
      <c r="Z23" s="69" t="e">
        <f t="shared" si="3"/>
        <v>#VALUE!</v>
      </c>
    </row>
    <row r="24" spans="1:26" ht="45" customHeight="1" x14ac:dyDescent="0.2">
      <c r="A24" s="24" t="s">
        <v>2148</v>
      </c>
      <c r="B24" s="24" t="s">
        <v>2149</v>
      </c>
      <c r="C24" s="69">
        <v>455815</v>
      </c>
      <c r="D24" s="69">
        <f>15153/1.25</f>
        <v>12122.4</v>
      </c>
      <c r="E24" s="69">
        <f>40282/1.25</f>
        <v>32225.599999999999</v>
      </c>
      <c r="F24" s="81">
        <f t="shared" ref="F24:F40" si="6">D24/26199</f>
        <v>0.46270468338486198</v>
      </c>
      <c r="G24" s="81">
        <f t="shared" si="1"/>
        <v>0.9999734445390307</v>
      </c>
      <c r="H24" s="156">
        <f t="shared" si="4"/>
        <v>985000</v>
      </c>
      <c r="I24" s="156">
        <f t="shared" si="5"/>
        <v>985000</v>
      </c>
      <c r="J24" s="83">
        <f t="shared" si="2"/>
        <v>985000</v>
      </c>
      <c r="K24" s="84" t="s">
        <v>1994</v>
      </c>
      <c r="L24" s="24" t="s">
        <v>1973</v>
      </c>
      <c r="M24" s="24" t="s">
        <v>2150</v>
      </c>
      <c r="N24" s="24" t="s">
        <v>1986</v>
      </c>
      <c r="O24" s="24" t="s">
        <v>2151</v>
      </c>
      <c r="P24" s="24" t="s">
        <v>1977</v>
      </c>
      <c r="Q24" s="85" t="s">
        <v>1978</v>
      </c>
      <c r="R24" s="86" t="s">
        <v>489</v>
      </c>
      <c r="S24" s="87" t="s">
        <v>2152</v>
      </c>
      <c r="T24" s="37" t="s">
        <v>2042</v>
      </c>
      <c r="U24" s="27" t="s">
        <v>593</v>
      </c>
      <c r="V24" s="27" t="s">
        <v>593</v>
      </c>
      <c r="W24" s="27" t="s">
        <v>593</v>
      </c>
      <c r="X24" s="24" t="s">
        <v>2153</v>
      </c>
      <c r="Y24" s="88">
        <v>3.7</v>
      </c>
      <c r="Z24" s="69">
        <f t="shared" si="3"/>
        <v>266216.21621621621</v>
      </c>
    </row>
    <row r="25" spans="1:26" ht="45" customHeight="1" x14ac:dyDescent="0.2">
      <c r="A25" s="24" t="s">
        <v>2148</v>
      </c>
      <c r="B25" s="24" t="s">
        <v>2154</v>
      </c>
      <c r="C25" s="69">
        <v>3520237</v>
      </c>
      <c r="D25" s="69">
        <f>226263/1.25</f>
        <v>181010.4</v>
      </c>
      <c r="E25" s="69">
        <f>341782/1.25</f>
        <v>273425.59999999998</v>
      </c>
      <c r="F25" s="81">
        <f t="shared" si="6"/>
        <v>6.9090575976182294</v>
      </c>
      <c r="G25" s="81">
        <f t="shared" si="1"/>
        <v>0.568213713262263</v>
      </c>
      <c r="H25" s="156">
        <f t="shared" si="4"/>
        <v>510000</v>
      </c>
      <c r="I25" s="156">
        <f t="shared" si="5"/>
        <v>897000</v>
      </c>
      <c r="J25" s="83">
        <f t="shared" si="2"/>
        <v>510000</v>
      </c>
      <c r="K25" s="84" t="s">
        <v>2107</v>
      </c>
      <c r="L25" s="24" t="s">
        <v>1973</v>
      </c>
      <c r="M25" s="24" t="s">
        <v>2155</v>
      </c>
      <c r="N25" s="24" t="s">
        <v>2041</v>
      </c>
      <c r="O25" s="24" t="s">
        <v>1996</v>
      </c>
      <c r="P25" s="24" t="s">
        <v>1977</v>
      </c>
      <c r="Q25" s="85" t="s">
        <v>1978</v>
      </c>
      <c r="R25" s="86" t="s">
        <v>2036</v>
      </c>
      <c r="S25" s="87" t="s">
        <v>2156</v>
      </c>
      <c r="T25" s="37" t="s">
        <v>2157</v>
      </c>
      <c r="U25" s="27" t="s">
        <v>593</v>
      </c>
      <c r="V25" s="27" t="s">
        <v>593</v>
      </c>
      <c r="W25" s="27" t="s">
        <v>593</v>
      </c>
      <c r="X25" s="24" t="s">
        <v>2158</v>
      </c>
      <c r="Y25" s="88">
        <v>1.383</v>
      </c>
      <c r="Z25" s="69">
        <f t="shared" si="3"/>
        <v>648590.02169197402</v>
      </c>
    </row>
    <row r="26" spans="1:26" ht="45" customHeight="1" x14ac:dyDescent="0.2">
      <c r="A26" s="24" t="s">
        <v>2159</v>
      </c>
      <c r="B26" s="24" t="s">
        <v>2160</v>
      </c>
      <c r="C26" s="69">
        <v>1962478</v>
      </c>
      <c r="D26" s="69">
        <f>24195/1.25</f>
        <v>19356</v>
      </c>
      <c r="E26" s="69">
        <f>64321/1.25</f>
        <v>51456.800000000003</v>
      </c>
      <c r="F26" s="81">
        <f t="shared" si="6"/>
        <v>0.73880682468796521</v>
      </c>
      <c r="G26" s="81">
        <f t="shared" si="1"/>
        <v>1.0000074290856125</v>
      </c>
      <c r="H26" s="156">
        <f t="shared" si="4"/>
        <v>2656000</v>
      </c>
      <c r="I26" s="156">
        <f t="shared" si="5"/>
        <v>2656000</v>
      </c>
      <c r="J26" s="83">
        <f t="shared" si="2"/>
        <v>2656000</v>
      </c>
      <c r="K26" s="84" t="s">
        <v>2091</v>
      </c>
      <c r="L26" s="24" t="s">
        <v>2092</v>
      </c>
      <c r="M26" s="24" t="s">
        <v>2161</v>
      </c>
      <c r="N26" s="24" t="s">
        <v>1986</v>
      </c>
      <c r="O26" s="24" t="s">
        <v>2003</v>
      </c>
      <c r="P26" s="24" t="s">
        <v>1977</v>
      </c>
      <c r="Q26" s="85" t="s">
        <v>1987</v>
      </c>
      <c r="R26" s="86" t="s">
        <v>2068</v>
      </c>
      <c r="S26" s="86" t="s">
        <v>2162</v>
      </c>
      <c r="T26" s="87" t="s">
        <v>2163</v>
      </c>
      <c r="U26" s="27" t="s">
        <v>593</v>
      </c>
      <c r="V26" s="27" t="s">
        <v>593</v>
      </c>
      <c r="W26" s="27" t="s">
        <v>593</v>
      </c>
      <c r="X26" s="24" t="s">
        <v>2164</v>
      </c>
      <c r="Y26" s="88">
        <v>7.8330000000000002</v>
      </c>
      <c r="Z26" s="69">
        <f t="shared" si="3"/>
        <v>339078.25864930422</v>
      </c>
    </row>
    <row r="27" spans="1:26" ht="45" customHeight="1" x14ac:dyDescent="0.2">
      <c r="A27" s="24" t="s">
        <v>2165</v>
      </c>
      <c r="B27" s="24" t="s">
        <v>2166</v>
      </c>
      <c r="C27" s="69">
        <v>1304801</v>
      </c>
      <c r="D27" s="69">
        <f t="shared" ref="D27:D28" si="7">26150/1.25</f>
        <v>20920</v>
      </c>
      <c r="E27" s="69">
        <f t="shared" ref="E27:E28" si="8">69518/1.25</f>
        <v>55614.400000000001</v>
      </c>
      <c r="F27" s="81">
        <f t="shared" si="6"/>
        <v>0.79850375968548415</v>
      </c>
      <c r="G27" s="81">
        <f t="shared" si="1"/>
        <v>1.0000037786296259</v>
      </c>
      <c r="H27" s="156">
        <f t="shared" si="4"/>
        <v>1634000</v>
      </c>
      <c r="I27" s="156">
        <f t="shared" si="5"/>
        <v>1634000</v>
      </c>
      <c r="J27" s="83">
        <f t="shared" si="2"/>
        <v>1634000</v>
      </c>
      <c r="K27" s="84" t="s">
        <v>2057</v>
      </c>
      <c r="L27" s="24" t="s">
        <v>1973</v>
      </c>
      <c r="M27" s="24" t="s">
        <v>593</v>
      </c>
      <c r="N27" s="24" t="s">
        <v>1986</v>
      </c>
      <c r="O27" s="24" t="s">
        <v>2003</v>
      </c>
      <c r="P27" s="24" t="s">
        <v>1977</v>
      </c>
      <c r="Q27" s="85" t="s">
        <v>2167</v>
      </c>
      <c r="R27" s="86" t="s">
        <v>2168</v>
      </c>
      <c r="S27" s="86" t="s">
        <v>2168</v>
      </c>
      <c r="T27" s="87" t="s">
        <v>2169</v>
      </c>
      <c r="U27" s="27" t="s">
        <v>593</v>
      </c>
      <c r="V27" s="27" t="s">
        <v>593</v>
      </c>
      <c r="W27" s="27" t="s">
        <v>593</v>
      </c>
      <c r="X27" s="24" t="s">
        <v>2170</v>
      </c>
      <c r="Y27" s="88">
        <v>6.3659999999999997</v>
      </c>
      <c r="Z27" s="69">
        <f t="shared" si="3"/>
        <v>256676.0917373547</v>
      </c>
    </row>
    <row r="28" spans="1:26" ht="45" customHeight="1" x14ac:dyDescent="0.2">
      <c r="A28" s="24" t="s">
        <v>2165</v>
      </c>
      <c r="B28" s="24" t="s">
        <v>2171</v>
      </c>
      <c r="C28" s="69">
        <v>3572347</v>
      </c>
      <c r="D28" s="69">
        <f t="shared" si="7"/>
        <v>20920</v>
      </c>
      <c r="E28" s="69">
        <f t="shared" si="8"/>
        <v>55614.400000000001</v>
      </c>
      <c r="F28" s="81">
        <f t="shared" si="6"/>
        <v>0.79850375968548415</v>
      </c>
      <c r="G28" s="81">
        <f t="shared" si="1"/>
        <v>1.0000037786296259</v>
      </c>
      <c r="H28" s="156">
        <f t="shared" si="4"/>
        <v>4474000</v>
      </c>
      <c r="I28" s="156">
        <f t="shared" si="5"/>
        <v>4474000</v>
      </c>
      <c r="J28" s="83">
        <f t="shared" si="2"/>
        <v>4474000</v>
      </c>
      <c r="K28" s="84" t="s">
        <v>2057</v>
      </c>
      <c r="L28" s="24" t="s">
        <v>1973</v>
      </c>
      <c r="M28" s="24" t="s">
        <v>593</v>
      </c>
      <c r="N28" s="24" t="s">
        <v>1986</v>
      </c>
      <c r="O28" s="24" t="s">
        <v>2151</v>
      </c>
      <c r="P28" s="24" t="s">
        <v>2022</v>
      </c>
      <c r="Q28" s="85" t="s">
        <v>2167</v>
      </c>
      <c r="R28" s="86" t="s">
        <v>2023</v>
      </c>
      <c r="S28" s="87" t="s">
        <v>2172</v>
      </c>
      <c r="T28" s="87" t="s">
        <v>2173</v>
      </c>
      <c r="U28" s="27" t="s">
        <v>593</v>
      </c>
      <c r="V28" s="27" t="s">
        <v>593</v>
      </c>
      <c r="W28" s="27" t="s">
        <v>593</v>
      </c>
      <c r="X28" s="24" t="s">
        <v>2174</v>
      </c>
      <c r="Y28" s="88">
        <v>8.5329999999999995</v>
      </c>
      <c r="Z28" s="69">
        <f t="shared" si="3"/>
        <v>524317.35614672455</v>
      </c>
    </row>
    <row r="29" spans="1:26" ht="45" customHeight="1" x14ac:dyDescent="0.2">
      <c r="A29" s="24" t="s">
        <v>2175</v>
      </c>
      <c r="B29" s="24" t="s">
        <v>2176</v>
      </c>
      <c r="C29" s="69">
        <v>4339772</v>
      </c>
      <c r="D29" s="69">
        <f>32748/1.25</f>
        <v>26198.400000000001</v>
      </c>
      <c r="E29" s="69">
        <f>87060/1.25</f>
        <v>69648</v>
      </c>
      <c r="F29" s="81">
        <f t="shared" si="6"/>
        <v>0.99997709836253301</v>
      </c>
      <c r="G29" s="81">
        <f t="shared" si="1"/>
        <v>1.000022902161964</v>
      </c>
      <c r="H29" s="156">
        <f t="shared" si="4"/>
        <v>4340000</v>
      </c>
      <c r="I29" s="156">
        <f t="shared" si="5"/>
        <v>4340000</v>
      </c>
      <c r="J29" s="83">
        <f t="shared" si="2"/>
        <v>4340000</v>
      </c>
      <c r="K29" s="84" t="s">
        <v>1994</v>
      </c>
      <c r="L29" s="24" t="s">
        <v>2092</v>
      </c>
      <c r="M29" s="24" t="s">
        <v>593</v>
      </c>
      <c r="N29" s="24" t="s">
        <v>1995</v>
      </c>
      <c r="O29" s="24" t="s">
        <v>2003</v>
      </c>
      <c r="P29" s="24" t="s">
        <v>1988</v>
      </c>
      <c r="Q29" s="85" t="s">
        <v>1987</v>
      </c>
      <c r="R29" s="86" t="s">
        <v>2177</v>
      </c>
      <c r="S29" s="87" t="s">
        <v>2178</v>
      </c>
      <c r="T29" s="87" t="s">
        <v>2179</v>
      </c>
      <c r="U29" s="27" t="s">
        <v>593</v>
      </c>
      <c r="V29" s="27" t="s">
        <v>593</v>
      </c>
      <c r="W29" s="27" t="s">
        <v>593</v>
      </c>
      <c r="X29" s="24" t="s">
        <v>2180</v>
      </c>
      <c r="Y29" s="88">
        <v>18.233000000000001</v>
      </c>
      <c r="Z29" s="69">
        <f t="shared" si="3"/>
        <v>238029.94570284648</v>
      </c>
    </row>
    <row r="30" spans="1:26" ht="45" customHeight="1" x14ac:dyDescent="0.2">
      <c r="A30" s="24" t="s">
        <v>2175</v>
      </c>
      <c r="B30" s="24" t="s">
        <v>2181</v>
      </c>
      <c r="C30" s="69">
        <v>4746905</v>
      </c>
      <c r="D30" s="69">
        <f>33236/1.25</f>
        <v>26588.799999999999</v>
      </c>
      <c r="E30" s="69">
        <f>88360/1.25</f>
        <v>70688</v>
      </c>
      <c r="F30" s="81">
        <f t="shared" si="6"/>
        <v>1.0148784304744456</v>
      </c>
      <c r="G30" s="81">
        <f t="shared" si="1"/>
        <v>1.0000530114440023</v>
      </c>
      <c r="H30" s="156">
        <f t="shared" si="4"/>
        <v>4677000</v>
      </c>
      <c r="I30" s="156">
        <f t="shared" si="5"/>
        <v>4677000</v>
      </c>
      <c r="J30" s="83">
        <f t="shared" si="2"/>
        <v>4677000</v>
      </c>
      <c r="K30" s="84" t="s">
        <v>2047</v>
      </c>
      <c r="L30" s="24" t="s">
        <v>2031</v>
      </c>
      <c r="M30" s="24" t="s">
        <v>593</v>
      </c>
      <c r="N30" s="24" t="s">
        <v>1995</v>
      </c>
      <c r="O30" s="24" t="s">
        <v>1996</v>
      </c>
      <c r="P30" s="24" t="s">
        <v>1975</v>
      </c>
      <c r="Q30" s="85" t="s">
        <v>1987</v>
      </c>
      <c r="R30" s="87" t="s">
        <v>2182</v>
      </c>
      <c r="S30" s="87" t="s">
        <v>2172</v>
      </c>
      <c r="T30" s="87" t="s">
        <v>2183</v>
      </c>
      <c r="U30" s="27" t="s">
        <v>593</v>
      </c>
      <c r="V30" s="27" t="s">
        <v>593</v>
      </c>
      <c r="W30" s="27" t="s">
        <v>593</v>
      </c>
      <c r="X30" s="24" t="s">
        <v>2180</v>
      </c>
      <c r="Y30" s="88">
        <v>10.766</v>
      </c>
      <c r="Z30" s="69">
        <f t="shared" si="3"/>
        <v>434423.18409808655</v>
      </c>
    </row>
    <row r="31" spans="1:26" ht="45" customHeight="1" x14ac:dyDescent="0.2">
      <c r="A31" s="24" t="s">
        <v>126</v>
      </c>
      <c r="B31" s="24" t="s">
        <v>2184</v>
      </c>
      <c r="C31" s="69">
        <v>5358093</v>
      </c>
      <c r="D31" s="69">
        <f>38613/1.25</f>
        <v>30890.400000000001</v>
      </c>
      <c r="E31" s="69">
        <f>102653/1.25</f>
        <v>82122.399999999994</v>
      </c>
      <c r="F31" s="81">
        <f t="shared" si="6"/>
        <v>1.1790679033550899</v>
      </c>
      <c r="G31" s="81">
        <f t="shared" si="1"/>
        <v>1.0000326190479121</v>
      </c>
      <c r="H31" s="156">
        <f t="shared" si="4"/>
        <v>4544000</v>
      </c>
      <c r="I31" s="156">
        <f t="shared" si="5"/>
        <v>4544000</v>
      </c>
      <c r="J31" s="83">
        <f t="shared" si="2"/>
        <v>4544000</v>
      </c>
      <c r="K31" s="84" t="s">
        <v>2185</v>
      </c>
      <c r="L31" s="24" t="s">
        <v>2124</v>
      </c>
      <c r="M31" s="24" t="s">
        <v>2186</v>
      </c>
      <c r="N31" s="24" t="s">
        <v>2041</v>
      </c>
      <c r="O31" s="24" t="s">
        <v>1976</v>
      </c>
      <c r="P31" s="24" t="s">
        <v>1977</v>
      </c>
      <c r="Q31" s="85" t="s">
        <v>1987</v>
      </c>
      <c r="R31" s="86" t="s">
        <v>1979</v>
      </c>
      <c r="S31" s="86" t="s">
        <v>2187</v>
      </c>
      <c r="T31" s="87" t="s">
        <v>2188</v>
      </c>
      <c r="U31" s="27" t="s">
        <v>593</v>
      </c>
      <c r="V31" s="27" t="s">
        <v>593</v>
      </c>
      <c r="W31" s="27" t="s">
        <v>593</v>
      </c>
      <c r="X31" s="24" t="s">
        <v>2189</v>
      </c>
      <c r="Y31" s="24" t="s">
        <v>2145</v>
      </c>
      <c r="Z31" s="69" t="e">
        <f t="shared" si="3"/>
        <v>#VALUE!</v>
      </c>
    </row>
    <row r="32" spans="1:26" ht="45" customHeight="1" x14ac:dyDescent="0.2">
      <c r="A32" s="24" t="s">
        <v>126</v>
      </c>
      <c r="B32" s="24" t="s">
        <v>2190</v>
      </c>
      <c r="C32" s="69">
        <f>AVERAGE(1099099,1100332)</f>
        <v>1099715.5</v>
      </c>
      <c r="D32" s="69">
        <f>25398+5688</f>
        <v>31086</v>
      </c>
      <c r="E32" s="69">
        <f>103303/1.25</f>
        <v>82642.399999999994</v>
      </c>
      <c r="F32" s="81">
        <f t="shared" si="6"/>
        <v>1.1865338371693577</v>
      </c>
      <c r="G32" s="81">
        <f t="shared" si="1"/>
        <v>1.0000325667753578</v>
      </c>
      <c r="H32" s="156">
        <f t="shared" si="4"/>
        <v>927000</v>
      </c>
      <c r="I32" s="156">
        <f t="shared" si="5"/>
        <v>927000</v>
      </c>
      <c r="J32" s="83">
        <f t="shared" si="2"/>
        <v>927000</v>
      </c>
      <c r="K32" s="84" t="s">
        <v>2191</v>
      </c>
      <c r="L32" s="24" t="s">
        <v>2124</v>
      </c>
      <c r="M32" s="24" t="s">
        <v>593</v>
      </c>
      <c r="N32" s="24" t="s">
        <v>2041</v>
      </c>
      <c r="O32" s="24" t="s">
        <v>2003</v>
      </c>
      <c r="P32" s="24" t="s">
        <v>1977</v>
      </c>
      <c r="Q32" s="85" t="s">
        <v>1987</v>
      </c>
      <c r="R32" s="86" t="s">
        <v>2192</v>
      </c>
      <c r="S32" s="86" t="s">
        <v>2192</v>
      </c>
      <c r="T32" s="87" t="s">
        <v>2193</v>
      </c>
      <c r="U32" s="27" t="s">
        <v>593</v>
      </c>
      <c r="V32" s="27" t="s">
        <v>593</v>
      </c>
      <c r="W32" s="27" t="s">
        <v>593</v>
      </c>
      <c r="X32" s="24" t="s">
        <v>2189</v>
      </c>
      <c r="Y32" s="24" t="s">
        <v>2145</v>
      </c>
      <c r="Z32" s="69" t="e">
        <f t="shared" si="3"/>
        <v>#VALUE!</v>
      </c>
    </row>
    <row r="33" spans="1:26" ht="45" customHeight="1" x14ac:dyDescent="0.2">
      <c r="A33" s="24" t="s">
        <v>126</v>
      </c>
      <c r="B33" s="24" t="s">
        <v>2194</v>
      </c>
      <c r="C33" s="69">
        <v>4800906</v>
      </c>
      <c r="D33" s="69">
        <f>39101/1.25</f>
        <v>31280.799999999999</v>
      </c>
      <c r="E33" s="69">
        <f>118329/1.25</f>
        <v>94663.2</v>
      </c>
      <c r="F33" s="81">
        <f t="shared" si="6"/>
        <v>1.1939692354670026</v>
      </c>
      <c r="G33" s="81">
        <f t="shared" si="1"/>
        <v>1.1383593914951138</v>
      </c>
      <c r="H33" s="156">
        <f t="shared" si="4"/>
        <v>4021000</v>
      </c>
      <c r="I33" s="156">
        <f t="shared" si="5"/>
        <v>3532000</v>
      </c>
      <c r="J33" s="83">
        <f t="shared" si="2"/>
        <v>3532000</v>
      </c>
      <c r="K33" s="84" t="s">
        <v>593</v>
      </c>
      <c r="L33" s="24" t="s">
        <v>2124</v>
      </c>
      <c r="M33" s="24" t="s">
        <v>2195</v>
      </c>
      <c r="N33" s="24" t="s">
        <v>1986</v>
      </c>
      <c r="O33" s="24" t="s">
        <v>2196</v>
      </c>
      <c r="P33" s="24" t="s">
        <v>1977</v>
      </c>
      <c r="Q33" s="85" t="s">
        <v>1987</v>
      </c>
      <c r="R33" s="86" t="s">
        <v>2197</v>
      </c>
      <c r="S33" s="86" t="s">
        <v>2198</v>
      </c>
      <c r="T33" s="87" t="s">
        <v>2199</v>
      </c>
      <c r="U33" s="27" t="s">
        <v>593</v>
      </c>
      <c r="V33" s="27" t="s">
        <v>593</v>
      </c>
      <c r="W33" s="27" t="s">
        <v>593</v>
      </c>
      <c r="X33" s="24" t="s">
        <v>2189</v>
      </c>
      <c r="Y33" s="24" t="s">
        <v>2145</v>
      </c>
      <c r="Z33" s="69" t="e">
        <f t="shared" si="3"/>
        <v>#VALUE!</v>
      </c>
    </row>
    <row r="34" spans="1:26" ht="45" customHeight="1" x14ac:dyDescent="0.2">
      <c r="A34" s="24" t="s">
        <v>2200</v>
      </c>
      <c r="B34" s="24" t="s">
        <v>2201</v>
      </c>
      <c r="C34" s="69">
        <v>5690511.4000000004</v>
      </c>
      <c r="D34" s="69">
        <f>(32147+7199)/1.25</f>
        <v>31476.799999999999</v>
      </c>
      <c r="E34" s="69">
        <f>104602/1.25</f>
        <v>83681.600000000006</v>
      </c>
      <c r="F34" s="81">
        <f t="shared" si="6"/>
        <v>1.2014504370395815</v>
      </c>
      <c r="G34" s="81">
        <f t="shared" si="1"/>
        <v>1.0000356119767013</v>
      </c>
      <c r="H34" s="156">
        <f t="shared" si="4"/>
        <v>4736000</v>
      </c>
      <c r="I34" s="156">
        <f t="shared" si="5"/>
        <v>4736000</v>
      </c>
      <c r="J34" s="83">
        <f t="shared" si="2"/>
        <v>4736000</v>
      </c>
      <c r="K34" s="84" t="s">
        <v>2011</v>
      </c>
      <c r="L34" s="24" t="s">
        <v>2012</v>
      </c>
      <c r="M34" s="24" t="s">
        <v>2202</v>
      </c>
      <c r="N34" s="24" t="s">
        <v>1975</v>
      </c>
      <c r="O34" s="24" t="s">
        <v>2196</v>
      </c>
      <c r="P34" s="24" t="s">
        <v>1988</v>
      </c>
      <c r="Q34" s="85" t="s">
        <v>1987</v>
      </c>
      <c r="R34" s="87" t="s">
        <v>1979</v>
      </c>
      <c r="S34" s="87" t="s">
        <v>2203</v>
      </c>
      <c r="T34" s="87" t="s">
        <v>2204</v>
      </c>
      <c r="U34" s="27" t="s">
        <v>593</v>
      </c>
      <c r="V34" s="27" t="s">
        <v>593</v>
      </c>
      <c r="W34" s="27" t="s">
        <v>593</v>
      </c>
      <c r="X34" s="24" t="s">
        <v>2205</v>
      </c>
      <c r="Y34" s="88">
        <v>17.899999999999999</v>
      </c>
      <c r="Z34" s="69">
        <f t="shared" si="3"/>
        <v>264581.00558659219</v>
      </c>
    </row>
    <row r="35" spans="1:26" ht="45" customHeight="1" x14ac:dyDescent="0.2">
      <c r="A35" s="24" t="s">
        <v>2200</v>
      </c>
      <c r="B35" s="24" t="s">
        <v>2206</v>
      </c>
      <c r="C35" s="69">
        <v>7531960</v>
      </c>
      <c r="D35" s="69">
        <f>25877+5795</f>
        <v>31672</v>
      </c>
      <c r="E35" s="69">
        <f>105252/1.25</f>
        <v>84201.600000000006</v>
      </c>
      <c r="F35" s="81">
        <f t="shared" si="6"/>
        <v>1.2089011030955379</v>
      </c>
      <c r="G35" s="81">
        <f t="shared" si="1"/>
        <v>1.0000481720892074</v>
      </c>
      <c r="H35" s="156">
        <f t="shared" si="4"/>
        <v>6230000</v>
      </c>
      <c r="I35" s="156">
        <f t="shared" si="5"/>
        <v>6230000</v>
      </c>
      <c r="J35" s="83">
        <f t="shared" si="2"/>
        <v>6230000</v>
      </c>
      <c r="K35" s="84" t="s">
        <v>2207</v>
      </c>
      <c r="L35" s="24" t="s">
        <v>2012</v>
      </c>
      <c r="M35" s="24" t="s">
        <v>593</v>
      </c>
      <c r="N35" s="24" t="s">
        <v>1995</v>
      </c>
      <c r="O35" s="24" t="s">
        <v>1976</v>
      </c>
      <c r="P35" s="24" t="s">
        <v>1988</v>
      </c>
      <c r="Q35" s="85" t="s">
        <v>1987</v>
      </c>
      <c r="R35" s="87" t="s">
        <v>2208</v>
      </c>
      <c r="S35" s="87" t="s">
        <v>2209</v>
      </c>
      <c r="T35" s="87" t="s">
        <v>2210</v>
      </c>
      <c r="U35" s="27" t="s">
        <v>593</v>
      </c>
      <c r="V35" s="27" t="s">
        <v>593</v>
      </c>
      <c r="W35" s="27" t="s">
        <v>593</v>
      </c>
      <c r="X35" s="24" t="s">
        <v>2189</v>
      </c>
      <c r="Y35" s="88">
        <v>13.317</v>
      </c>
      <c r="Z35" s="69">
        <f t="shared" si="3"/>
        <v>467823.08327701432</v>
      </c>
    </row>
    <row r="36" spans="1:26" ht="45" customHeight="1" x14ac:dyDescent="0.2">
      <c r="A36" s="24" t="s">
        <v>2211</v>
      </c>
      <c r="B36" s="24" t="s">
        <v>2212</v>
      </c>
      <c r="C36" s="69">
        <v>10691986</v>
      </c>
      <c r="D36" s="69">
        <f>44722/1.25</f>
        <v>35777.599999999999</v>
      </c>
      <c r="E36" s="69">
        <f>118896/1.25</f>
        <v>95116.800000000003</v>
      </c>
      <c r="F36" s="81">
        <f t="shared" si="6"/>
        <v>1.3656093744036031</v>
      </c>
      <c r="G36" s="81">
        <f t="shared" si="1"/>
        <v>1.000050869432729</v>
      </c>
      <c r="H36" s="156">
        <f t="shared" si="4"/>
        <v>7829000</v>
      </c>
      <c r="I36" s="156">
        <f t="shared" si="5"/>
        <v>7829000</v>
      </c>
      <c r="J36" s="83">
        <f t="shared" si="2"/>
        <v>7829000</v>
      </c>
      <c r="K36" s="84" t="s">
        <v>2091</v>
      </c>
      <c r="L36" s="24" t="s">
        <v>2213</v>
      </c>
      <c r="M36" s="24" t="s">
        <v>2214</v>
      </c>
      <c r="N36" s="24" t="s">
        <v>1986</v>
      </c>
      <c r="O36" s="24" t="s">
        <v>2215</v>
      </c>
      <c r="P36" s="24" t="s">
        <v>1988</v>
      </c>
      <c r="Q36" s="85" t="s">
        <v>1987</v>
      </c>
      <c r="R36" s="86" t="s">
        <v>2216</v>
      </c>
      <c r="S36" s="87" t="s">
        <v>2217</v>
      </c>
      <c r="T36" s="87" t="s">
        <v>2218</v>
      </c>
      <c r="U36" s="27" t="s">
        <v>593</v>
      </c>
      <c r="V36" s="27" t="s">
        <v>593</v>
      </c>
      <c r="W36" s="27" t="s">
        <v>593</v>
      </c>
      <c r="X36" s="24" t="s">
        <v>2219</v>
      </c>
      <c r="Y36" s="24" t="s">
        <v>2145</v>
      </c>
      <c r="Z36" s="69" t="e">
        <f t="shared" si="3"/>
        <v>#VALUE!</v>
      </c>
    </row>
    <row r="37" spans="1:26" ht="45" customHeight="1" x14ac:dyDescent="0.2">
      <c r="A37" s="24" t="s">
        <v>2211</v>
      </c>
      <c r="B37" s="24" t="s">
        <v>2220</v>
      </c>
      <c r="C37" s="69">
        <v>8952378</v>
      </c>
      <c r="D37" s="69">
        <f>44066/1.25</f>
        <v>35252.800000000003</v>
      </c>
      <c r="E37" s="69">
        <f>117150/1.25</f>
        <v>93720</v>
      </c>
      <c r="F37" s="81">
        <f t="shared" si="6"/>
        <v>1.3455780754990649</v>
      </c>
      <c r="G37" s="81">
        <f t="shared" si="1"/>
        <v>1.0000339127765967</v>
      </c>
      <c r="H37" s="156">
        <f t="shared" si="4"/>
        <v>6653000</v>
      </c>
      <c r="I37" s="156">
        <f t="shared" si="5"/>
        <v>6653000</v>
      </c>
      <c r="J37" s="83">
        <f t="shared" si="2"/>
        <v>6653000</v>
      </c>
      <c r="K37" s="84" t="s">
        <v>2107</v>
      </c>
      <c r="L37" s="24" t="s">
        <v>2213</v>
      </c>
      <c r="M37" s="24" t="s">
        <v>2214</v>
      </c>
      <c r="N37" s="24" t="s">
        <v>1986</v>
      </c>
      <c r="O37" s="24" t="s">
        <v>2064</v>
      </c>
      <c r="P37" s="24" t="s">
        <v>2022</v>
      </c>
      <c r="Q37" s="85" t="s">
        <v>1987</v>
      </c>
      <c r="R37" s="86" t="s">
        <v>2221</v>
      </c>
      <c r="S37" s="87" t="s">
        <v>2024</v>
      </c>
      <c r="T37" s="87" t="s">
        <v>2222</v>
      </c>
      <c r="U37" s="27" t="s">
        <v>593</v>
      </c>
      <c r="V37" s="27" t="s">
        <v>593</v>
      </c>
      <c r="W37" s="27" t="s">
        <v>593</v>
      </c>
      <c r="X37" s="24" t="s">
        <v>2219</v>
      </c>
      <c r="Y37" s="24" t="s">
        <v>2145</v>
      </c>
      <c r="Z37" s="69" t="e">
        <f t="shared" si="3"/>
        <v>#VALUE!</v>
      </c>
    </row>
    <row r="38" spans="1:26" ht="45" customHeight="1" x14ac:dyDescent="0.2">
      <c r="A38" s="24" t="s">
        <v>2223</v>
      </c>
      <c r="B38" s="24" t="s">
        <v>2224</v>
      </c>
      <c r="C38" s="69">
        <v>6394876</v>
      </c>
      <c r="D38" s="69">
        <v>35582</v>
      </c>
      <c r="E38" s="69">
        <v>94597</v>
      </c>
      <c r="F38" s="81">
        <f t="shared" si="6"/>
        <v>1.3581434405893356</v>
      </c>
      <c r="G38" s="81">
        <f t="shared" si="1"/>
        <v>1.0000531297699249</v>
      </c>
      <c r="H38" s="156">
        <f t="shared" si="4"/>
        <v>4709000</v>
      </c>
      <c r="I38" s="156">
        <f t="shared" si="5"/>
        <v>4708000</v>
      </c>
      <c r="J38" s="83">
        <f t="shared" si="2"/>
        <v>4708000</v>
      </c>
      <c r="K38" s="24"/>
      <c r="L38" s="24"/>
      <c r="M38" s="24" t="s">
        <v>593</v>
      </c>
      <c r="N38" s="24" t="s">
        <v>1975</v>
      </c>
      <c r="O38" s="24" t="s">
        <v>1976</v>
      </c>
      <c r="P38" s="24" t="s">
        <v>1977</v>
      </c>
      <c r="Q38" s="85" t="s">
        <v>1987</v>
      </c>
      <c r="R38" s="87" t="s">
        <v>2225</v>
      </c>
      <c r="S38" s="87" t="s">
        <v>2225</v>
      </c>
      <c r="T38" s="37" t="s">
        <v>2226</v>
      </c>
      <c r="U38" s="27" t="s">
        <v>593</v>
      </c>
      <c r="V38" s="27" t="s">
        <v>593</v>
      </c>
      <c r="W38" s="27" t="s">
        <v>593</v>
      </c>
      <c r="X38" s="24" t="s">
        <v>2227</v>
      </c>
      <c r="Y38" s="24" t="s">
        <v>2145</v>
      </c>
      <c r="Z38" s="69" t="e">
        <f t="shared" si="3"/>
        <v>#VALUE!</v>
      </c>
    </row>
    <row r="39" spans="1:26" ht="45" customHeight="1" x14ac:dyDescent="0.2">
      <c r="A39" s="24" t="s">
        <v>2223</v>
      </c>
      <c r="B39" s="24" t="s">
        <v>2228</v>
      </c>
      <c r="C39" s="69">
        <v>14567954</v>
      </c>
      <c r="D39" s="69">
        <v>35778</v>
      </c>
      <c r="E39" s="69">
        <v>95116</v>
      </c>
      <c r="F39" s="81">
        <f t="shared" si="6"/>
        <v>1.3656246421619145</v>
      </c>
      <c r="G39" s="81">
        <f t="shared" si="1"/>
        <v>1.0000312777635298</v>
      </c>
      <c r="H39" s="156">
        <f t="shared" si="4"/>
        <v>10668000</v>
      </c>
      <c r="I39" s="156">
        <f t="shared" si="5"/>
        <v>10667000</v>
      </c>
      <c r="J39" s="83">
        <f t="shared" si="2"/>
        <v>10667000</v>
      </c>
      <c r="K39" s="24"/>
      <c r="L39" s="24"/>
      <c r="M39" s="24" t="s">
        <v>2229</v>
      </c>
      <c r="N39" s="24" t="s">
        <v>1975</v>
      </c>
      <c r="O39" s="24" t="s">
        <v>2003</v>
      </c>
      <c r="P39" s="24" t="s">
        <v>1988</v>
      </c>
      <c r="Q39" s="85" t="s">
        <v>1987</v>
      </c>
      <c r="R39" s="87" t="s">
        <v>2230</v>
      </c>
      <c r="S39" s="87" t="s">
        <v>2231</v>
      </c>
      <c r="T39" s="37" t="s">
        <v>2232</v>
      </c>
      <c r="U39" s="27" t="s">
        <v>593</v>
      </c>
      <c r="V39" s="27" t="s">
        <v>593</v>
      </c>
      <c r="W39" s="27" t="s">
        <v>593</v>
      </c>
      <c r="X39" s="24" t="s">
        <v>2227</v>
      </c>
      <c r="Y39" s="24" t="s">
        <v>2145</v>
      </c>
      <c r="Z39" s="69" t="e">
        <f t="shared" si="3"/>
        <v>#VALUE!</v>
      </c>
    </row>
    <row r="40" spans="1:26" ht="45" customHeight="1" x14ac:dyDescent="0.2">
      <c r="A40" s="24" t="s">
        <v>2223</v>
      </c>
      <c r="B40" s="24" t="s">
        <v>2233</v>
      </c>
      <c r="C40" s="69">
        <v>14577877</v>
      </c>
      <c r="D40" s="69">
        <f>43181/1.25</f>
        <v>34544.800000000003</v>
      </c>
      <c r="E40" s="69">
        <f>114797/1.25</f>
        <v>91837.6</v>
      </c>
      <c r="F40" s="81">
        <f t="shared" si="6"/>
        <v>1.3185541432879118</v>
      </c>
      <c r="G40" s="81">
        <f t="shared" si="1"/>
        <v>1.0000320252540431</v>
      </c>
      <c r="H40" s="156">
        <f t="shared" si="4"/>
        <v>11056000</v>
      </c>
      <c r="I40" s="156">
        <f t="shared" si="5"/>
        <v>11056000</v>
      </c>
      <c r="J40" s="83">
        <f t="shared" si="2"/>
        <v>11056000</v>
      </c>
      <c r="K40" s="24"/>
      <c r="L40" s="24"/>
      <c r="M40" s="24" t="s">
        <v>593</v>
      </c>
      <c r="N40" s="24" t="s">
        <v>1975</v>
      </c>
      <c r="O40" s="24" t="s">
        <v>2003</v>
      </c>
      <c r="P40" s="24" t="s">
        <v>1975</v>
      </c>
      <c r="Q40" s="85" t="s">
        <v>1987</v>
      </c>
      <c r="R40" s="87" t="s">
        <v>2230</v>
      </c>
      <c r="S40" s="87" t="s">
        <v>2231</v>
      </c>
      <c r="T40" s="37" t="s">
        <v>2232</v>
      </c>
      <c r="U40" s="27" t="s">
        <v>593</v>
      </c>
      <c r="V40" s="27" t="s">
        <v>593</v>
      </c>
      <c r="W40" s="27" t="s">
        <v>593</v>
      </c>
      <c r="X40" s="24" t="s">
        <v>2227</v>
      </c>
      <c r="Y40" s="24" t="s">
        <v>2145</v>
      </c>
      <c r="Z40" s="69" t="e">
        <f t="shared" si="3"/>
        <v>#VALUE!</v>
      </c>
    </row>
  </sheetData>
  <autoFilter ref="A2:Z40" xr:uid="{00000000-0009-0000-0000-00000D000000}">
    <sortState xmlns:xlrd2="http://schemas.microsoft.com/office/spreadsheetml/2017/richdata2" ref="A2:Z40">
      <sortCondition ref="J2:J40"/>
    </sortState>
  </autoFilter>
  <customSheetViews>
    <customSheetView guid="{02DB96A9-CBEE-44F7-A7B1-D231E5C33D94}" filter="1" showAutoFilter="1">
      <pageMargins left="0.7" right="0.7" top="0.75" bottom="0.75" header="0.3" footer="0.3"/>
      <autoFilter ref="A2:Z40" xr:uid="{8556F59C-4954-4156-A8F7-E900881A14AB}">
        <sortState xmlns:xlrd2="http://schemas.microsoft.com/office/spreadsheetml/2017/richdata2" ref="A2:Z40">
          <sortCondition ref="J2:J40"/>
        </sortState>
      </autoFilter>
    </customSheetView>
  </customSheetViews>
  <mergeCells count="4">
    <mergeCell ref="A1:B1"/>
    <mergeCell ref="C1:J1"/>
    <mergeCell ref="K1:Q1"/>
    <mergeCell ref="R1:Z1"/>
  </mergeCells>
  <conditionalFormatting sqref="A1:Z40">
    <cfRule type="cellIs" dxfId="13" priority="4" operator="equal">
      <formula>"!"</formula>
    </cfRule>
  </conditionalFormatting>
  <conditionalFormatting sqref="C3:C40">
    <cfRule type="colorScale" priority="8">
      <colorScale>
        <cfvo type="min"/>
        <cfvo type="percentile" val="50"/>
        <cfvo type="max"/>
        <color rgb="FFE67C73"/>
        <color rgb="FFFFD666"/>
        <color rgb="FF57BB8A"/>
      </colorScale>
    </cfRule>
  </conditionalFormatting>
  <conditionalFormatting sqref="D2:E2">
    <cfRule type="containsText" dxfId="12" priority="3" operator="containsText" text="!">
      <formula>NOT(ISERROR(SEARCH(("!"),(D2))))</formula>
    </cfRule>
  </conditionalFormatting>
  <conditionalFormatting sqref="G3:G40">
    <cfRule type="cellIs" dxfId="11" priority="9" operator="notBetween">
      <formula>0.99</formula>
      <formula>1.01</formula>
    </cfRule>
  </conditionalFormatting>
  <conditionalFormatting sqref="H3:H40">
    <cfRule type="colorScale" priority="5">
      <colorScale>
        <cfvo type="min"/>
        <cfvo type="percentile" val="50"/>
        <cfvo type="max"/>
        <color rgb="FFE67C73"/>
        <color rgb="FFFFD666"/>
        <color rgb="FF57BB8A"/>
      </colorScale>
    </cfRule>
  </conditionalFormatting>
  <conditionalFormatting sqref="I3:I40">
    <cfRule type="colorScale" priority="6">
      <colorScale>
        <cfvo type="min"/>
        <cfvo type="percentile" val="50"/>
        <cfvo type="max"/>
        <color rgb="FFE67C73"/>
        <color rgb="FFFFD666"/>
        <color rgb="FF57BB8A"/>
      </colorScale>
    </cfRule>
  </conditionalFormatting>
  <conditionalFormatting sqref="J3:J40">
    <cfRule type="colorScale" priority="7">
      <colorScale>
        <cfvo type="min"/>
        <cfvo type="percentile" val="50"/>
        <cfvo type="max"/>
        <color rgb="FFE67C73"/>
        <color rgb="FFFFD666"/>
        <color rgb="FF57BB8A"/>
      </colorScale>
    </cfRule>
  </conditionalFormatting>
  <conditionalFormatting sqref="R3:W40">
    <cfRule type="cellIs" dxfId="10" priority="10" operator="equal">
      <formula>"N/A"</formula>
    </cfRule>
  </conditionalFormatting>
  <conditionalFormatting sqref="Z3:Z40">
    <cfRule type="colorScale" priority="11">
      <colorScale>
        <cfvo type="min"/>
        <cfvo type="percentile" val="50"/>
        <cfvo type="max"/>
        <color rgb="FFE67C73"/>
        <color rgb="FFFFD666"/>
        <color rgb="FF57BB8A"/>
      </colorScale>
    </cfRule>
  </conditionalFormatting>
  <conditionalFormatting sqref="F3:F40">
    <cfRule type="colorScale" priority="2">
      <colorScale>
        <cfvo type="min"/>
        <cfvo type="max"/>
        <color theme="9" tint="0.79998168889431442"/>
        <color theme="9" tint="-0.499984740745262"/>
      </colorScale>
    </cfRule>
    <cfRule type="colorScale" priority="1">
      <colorScale>
        <cfvo type="min"/>
        <cfvo type="max"/>
        <color theme="4" tint="-0.499984740745262"/>
        <color theme="9" tint="0.79998168889431442"/>
      </colorScale>
    </cfRule>
  </conditionalFormatting>
  <hyperlinks>
    <hyperlink ref="Y3" r:id="rId1" display="https://www.youtube.com/watch?v=OiKSJ2hKALg" xr:uid="{00000000-0004-0000-0D00-000000000000}"/>
    <hyperlink ref="Y4" r:id="rId2" display="https://youtu.be/01Rcj9hh708?t=200" xr:uid="{00000000-0004-0000-0D00-000001000000}"/>
    <hyperlink ref="Y5" r:id="rId3" display="https://www.youtube.com/watch?v=F6NdV8sNU0s" xr:uid="{00000000-0004-0000-0D00-000002000000}"/>
    <hyperlink ref="Y6" r:id="rId4" display="https://youtu.be/03Q76wIMRRU?t=667" xr:uid="{00000000-0004-0000-0D00-000003000000}"/>
    <hyperlink ref="Y7" r:id="rId5" display="https://www.youtube.com/watch?v=llxr4yYJ07g" xr:uid="{00000000-0004-0000-0D00-000004000000}"/>
    <hyperlink ref="Y8" r:id="rId6" display="https://youtu.be/4iYpvItEG4M?t=10" xr:uid="{00000000-0004-0000-0D00-000005000000}"/>
    <hyperlink ref="Y9" r:id="rId7" display="https://youtu.be/t50lP3Flg68?t=167" xr:uid="{00000000-0004-0000-0D00-000006000000}"/>
    <hyperlink ref="Y10" r:id="rId8" display="https://youtu.be/t50lP3Flg68?t=282" xr:uid="{00000000-0004-0000-0D00-000007000000}"/>
    <hyperlink ref="Y11" r:id="rId9" display="https://youtu.be/WpVVLEMePw8?t=47" xr:uid="{00000000-0004-0000-0D00-000008000000}"/>
    <hyperlink ref="Y12" r:id="rId10" display="https://youtu.be/39x102_6jXI?t=13" xr:uid="{00000000-0004-0000-0D00-000009000000}"/>
    <hyperlink ref="Y13" r:id="rId11" display="https://youtu.be/nnb0p15kmlM?t=1120" xr:uid="{00000000-0004-0000-0D00-00000A000000}"/>
    <hyperlink ref="Y14" r:id="rId12" display="https://youtu.be/uNKnSS_DHAA?t=639" xr:uid="{00000000-0004-0000-0D00-00000B000000}"/>
    <hyperlink ref="Y15" r:id="rId13" display="https://youtu.be/qMf0ZrwNR2Y?t=1169" xr:uid="{00000000-0004-0000-0D00-00000C000000}"/>
    <hyperlink ref="Y16" r:id="rId14" display="https://youtu.be/_-aBZOFUjwY?t=387" xr:uid="{00000000-0004-0000-0D00-00000D000000}"/>
    <hyperlink ref="Y17" r:id="rId15" display="https://youtu.be/_-aBZOFUjwY?t=509" xr:uid="{00000000-0004-0000-0D00-00000E000000}"/>
    <hyperlink ref="Y18" r:id="rId16" display="https://youtu.be/_-aBZOFUjwY?t=676" xr:uid="{00000000-0004-0000-0D00-00000F000000}"/>
    <hyperlink ref="Y19" r:id="rId17" display="https://youtu.be/_-aBZOFUjwY?t=800" xr:uid="{00000000-0004-0000-0D00-000010000000}"/>
    <hyperlink ref="Y20" r:id="rId18" display="https://youtu.be/aO2JVP9f8GI?t=468" xr:uid="{00000000-0004-0000-0D00-000011000000}"/>
    <hyperlink ref="Y21" r:id="rId19" display="https://youtu.be/aO2JVP9f8GI?t=612" xr:uid="{00000000-0004-0000-0D00-000012000000}"/>
    <hyperlink ref="Y24" r:id="rId20" display="https://youtu.be/8q5IyNphlm4?t=109" xr:uid="{00000000-0004-0000-0D00-000013000000}"/>
    <hyperlink ref="Y25" r:id="rId21" display="https://youtu.be/ic9PFd7l-A0?t=177" xr:uid="{00000000-0004-0000-0D00-000014000000}"/>
    <hyperlink ref="Y26" r:id="rId22" display="https://youtu.be/bK_cb4sUCOs?t=300" xr:uid="{00000000-0004-0000-0D00-000015000000}"/>
    <hyperlink ref="Y27" r:id="rId23" display="https://youtu.be/fguqiv3ZINA?t=43" xr:uid="{00000000-0004-0000-0D00-000016000000}"/>
    <hyperlink ref="Y28" r:id="rId24" display="https://youtu.be/fguqiv3ZINA?t=334" xr:uid="{00000000-0004-0000-0D00-000017000000}"/>
    <hyperlink ref="Y29" r:id="rId25" display="https://www.youtube.com/watch?v=La036XjtwtI" xr:uid="{00000000-0004-0000-0D00-000018000000}"/>
    <hyperlink ref="Y30" r:id="rId26" display="https://youtu.be/RQszKZ5i4AA?t=6" xr:uid="{00000000-0004-0000-0D00-000019000000}"/>
    <hyperlink ref="Y34" r:id="rId27" display="https://youtu.be/jwORsiindgU?t=193" xr:uid="{00000000-0004-0000-0D00-00001A000000}"/>
    <hyperlink ref="Y35" r:id="rId28" display="https://youtu.be/4nMiGsc8gUo?t=304" xr:uid="{00000000-0004-0000-0D00-00001B000000}"/>
  </hyperlinks>
  <pageMargins left="0.7" right="0.7" top="0.75" bottom="0.75" header="0.3" footer="0.3"/>
  <drawing r:id="rId29"/>
  <legacyDrawing r:id="rId30"/>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00FF00"/>
    <outlinePr summaryBelow="0" summaryRight="0"/>
  </sheetPr>
  <dimension ref="A1:L1043"/>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23.85546875" customWidth="1"/>
    <col min="2" max="2" width="17.42578125" customWidth="1"/>
    <col min="3" max="3" width="5.140625" customWidth="1"/>
    <col min="4" max="4" width="7.5703125" customWidth="1"/>
    <col min="5" max="5" width="9" customWidth="1"/>
    <col min="6" max="10" width="7.5703125" customWidth="1"/>
    <col min="11" max="12" width="9" customWidth="1"/>
  </cols>
  <sheetData>
    <row r="1" spans="1:12" ht="30" customHeight="1" x14ac:dyDescent="0.2">
      <c r="A1" s="28" t="s">
        <v>192</v>
      </c>
      <c r="B1" s="28" t="s">
        <v>30</v>
      </c>
      <c r="C1" s="28" t="s">
        <v>356</v>
      </c>
      <c r="D1" s="28" t="s">
        <v>933</v>
      </c>
      <c r="E1" s="28" t="s">
        <v>637</v>
      </c>
      <c r="F1" s="28" t="s">
        <v>582</v>
      </c>
      <c r="G1" s="28" t="s">
        <v>584</v>
      </c>
      <c r="H1" s="28" t="s">
        <v>288</v>
      </c>
      <c r="I1" s="28" t="s">
        <v>257</v>
      </c>
      <c r="J1" s="28" t="s">
        <v>585</v>
      </c>
      <c r="K1" s="28" t="s">
        <v>17</v>
      </c>
      <c r="L1" s="28" t="s">
        <v>588</v>
      </c>
    </row>
    <row r="2" spans="1:12" ht="30" customHeight="1" x14ac:dyDescent="0.2">
      <c r="A2" s="27" t="s">
        <v>2234</v>
      </c>
      <c r="B2" s="27" t="s">
        <v>2235</v>
      </c>
      <c r="C2" s="27"/>
      <c r="D2" s="31">
        <v>0</v>
      </c>
      <c r="E2" s="52">
        <v>0</v>
      </c>
      <c r="F2" s="31"/>
      <c r="G2" s="31"/>
      <c r="H2" s="31"/>
      <c r="I2" s="31"/>
      <c r="J2" s="31"/>
      <c r="K2" s="52">
        <f t="shared" ref="K2:K219" si="0">PRODUCT(E2:J2)</f>
        <v>0</v>
      </c>
      <c r="L2" s="52">
        <v>0</v>
      </c>
    </row>
    <row r="3" spans="1:12" ht="30" customHeight="1" x14ac:dyDescent="0.2">
      <c r="A3" s="27" t="s">
        <v>2236</v>
      </c>
      <c r="B3" s="27" t="s">
        <v>2237</v>
      </c>
      <c r="C3" s="27"/>
      <c r="D3" s="31">
        <f>1.817*66</f>
        <v>119.922</v>
      </c>
      <c r="E3" s="52">
        <f>6435*66</f>
        <v>424710</v>
      </c>
      <c r="F3" s="31"/>
      <c r="G3" s="31"/>
      <c r="H3" s="31"/>
      <c r="I3" s="31">
        <v>1.3</v>
      </c>
      <c r="J3" s="31"/>
      <c r="K3" s="52">
        <f t="shared" si="0"/>
        <v>552123</v>
      </c>
      <c r="L3" s="52">
        <f>K3</f>
        <v>552123</v>
      </c>
    </row>
    <row r="4" spans="1:12" ht="30" customHeight="1" x14ac:dyDescent="0.2">
      <c r="A4" s="27" t="s">
        <v>2238</v>
      </c>
      <c r="B4" s="27" t="s">
        <v>2235</v>
      </c>
      <c r="C4" s="27"/>
      <c r="D4" s="31">
        <v>0</v>
      </c>
      <c r="E4" s="52">
        <v>0</v>
      </c>
      <c r="F4" s="31"/>
      <c r="G4" s="31"/>
      <c r="H4" s="31"/>
      <c r="I4" s="31"/>
      <c r="J4" s="31"/>
      <c r="K4" s="52">
        <f t="shared" si="0"/>
        <v>0</v>
      </c>
      <c r="L4" s="52">
        <v>0</v>
      </c>
    </row>
    <row r="5" spans="1:12" ht="30" customHeight="1" x14ac:dyDescent="0.2">
      <c r="A5" s="27" t="s">
        <v>2239</v>
      </c>
      <c r="B5" s="27" t="s">
        <v>2240</v>
      </c>
      <c r="C5" s="27"/>
      <c r="D5" s="31">
        <f>1.367*87</f>
        <v>118.929</v>
      </c>
      <c r="E5" s="52">
        <f>10725*87</f>
        <v>933075</v>
      </c>
      <c r="F5" s="31"/>
      <c r="G5" s="31"/>
      <c r="H5" s="31"/>
      <c r="I5" s="31">
        <v>1.3</v>
      </c>
      <c r="J5" s="31"/>
      <c r="K5" s="52">
        <f t="shared" si="0"/>
        <v>1212997.5</v>
      </c>
      <c r="L5" s="52">
        <f t="shared" ref="L5:L6" si="1">K5</f>
        <v>1212997.5</v>
      </c>
    </row>
    <row r="6" spans="1:12" ht="30" customHeight="1" x14ac:dyDescent="0.2">
      <c r="A6" s="27" t="s">
        <v>2241</v>
      </c>
      <c r="B6" s="27" t="s">
        <v>2242</v>
      </c>
      <c r="C6" s="27"/>
      <c r="D6" s="31">
        <v>0.8</v>
      </c>
      <c r="E6" s="52">
        <f t="shared" ref="E6:E49" si="2">3849*7</f>
        <v>26943</v>
      </c>
      <c r="F6" s="31">
        <v>1.4</v>
      </c>
      <c r="G6" s="31">
        <v>1.22</v>
      </c>
      <c r="H6" s="31">
        <v>1.25</v>
      </c>
      <c r="I6" s="31">
        <v>1.3</v>
      </c>
      <c r="J6" s="31">
        <v>1.0777000000000001</v>
      </c>
      <c r="K6" s="52">
        <f t="shared" si="0"/>
        <v>80590.725538049999</v>
      </c>
      <c r="L6" s="52">
        <f t="shared" si="1"/>
        <v>80590.725538049999</v>
      </c>
    </row>
    <row r="7" spans="1:12" ht="30" customHeight="1" x14ac:dyDescent="0.2">
      <c r="A7" s="27" t="s">
        <v>2243</v>
      </c>
      <c r="B7" s="27" t="s">
        <v>2244</v>
      </c>
      <c r="C7" s="27"/>
      <c r="D7" s="31">
        <f t="shared" ref="D7:D10" si="3">D6+1.18333</f>
        <v>1.98333</v>
      </c>
      <c r="E7" s="52">
        <f t="shared" si="2"/>
        <v>26943</v>
      </c>
      <c r="F7" s="31">
        <v>1.4</v>
      </c>
      <c r="G7" s="31">
        <v>1.22</v>
      </c>
      <c r="H7" s="31">
        <v>1.25</v>
      </c>
      <c r="I7" s="31">
        <v>1.3</v>
      </c>
      <c r="J7" s="31">
        <v>1.0777000000000001</v>
      </c>
      <c r="K7" s="52">
        <f t="shared" si="0"/>
        <v>80590.725538049999</v>
      </c>
      <c r="L7" s="52">
        <f t="shared" ref="L7:L27" si="4">K7+L6</f>
        <v>161181.4510761</v>
      </c>
    </row>
    <row r="8" spans="1:12" ht="30" customHeight="1" x14ac:dyDescent="0.2">
      <c r="A8" s="27" t="s">
        <v>2245</v>
      </c>
      <c r="B8" s="27" t="s">
        <v>2246</v>
      </c>
      <c r="C8" s="27"/>
      <c r="D8" s="31">
        <f t="shared" si="3"/>
        <v>3.1666600000000003</v>
      </c>
      <c r="E8" s="52">
        <f t="shared" si="2"/>
        <v>26943</v>
      </c>
      <c r="F8" s="31">
        <v>1.4</v>
      </c>
      <c r="G8" s="31">
        <v>1.22</v>
      </c>
      <c r="H8" s="31">
        <v>1.25</v>
      </c>
      <c r="I8" s="31">
        <v>1.3</v>
      </c>
      <c r="J8" s="31">
        <v>1.0777000000000001</v>
      </c>
      <c r="K8" s="52">
        <f t="shared" si="0"/>
        <v>80590.725538049999</v>
      </c>
      <c r="L8" s="52">
        <f t="shared" si="4"/>
        <v>241772.17661415</v>
      </c>
    </row>
    <row r="9" spans="1:12" ht="30" customHeight="1" x14ac:dyDescent="0.2">
      <c r="A9" s="27" t="s">
        <v>2247</v>
      </c>
      <c r="B9" s="27" t="s">
        <v>2248</v>
      </c>
      <c r="C9" s="27"/>
      <c r="D9" s="31">
        <f t="shared" si="3"/>
        <v>4.34999</v>
      </c>
      <c r="E9" s="52">
        <f t="shared" si="2"/>
        <v>26943</v>
      </c>
      <c r="F9" s="31">
        <v>1.4</v>
      </c>
      <c r="G9" s="31">
        <v>1.22</v>
      </c>
      <c r="H9" s="31">
        <v>1.25</v>
      </c>
      <c r="I9" s="31">
        <v>1.3</v>
      </c>
      <c r="J9" s="31">
        <v>1.0777000000000001</v>
      </c>
      <c r="K9" s="52">
        <f t="shared" si="0"/>
        <v>80590.725538049999</v>
      </c>
      <c r="L9" s="52">
        <f t="shared" si="4"/>
        <v>322362.9021522</v>
      </c>
    </row>
    <row r="10" spans="1:12" ht="30" customHeight="1" x14ac:dyDescent="0.2">
      <c r="A10" s="27" t="s">
        <v>2249</v>
      </c>
      <c r="B10" s="27" t="s">
        <v>2250</v>
      </c>
      <c r="C10" s="27"/>
      <c r="D10" s="31">
        <f t="shared" si="3"/>
        <v>5.5333199999999998</v>
      </c>
      <c r="E10" s="52">
        <f t="shared" si="2"/>
        <v>26943</v>
      </c>
      <c r="F10" s="31">
        <v>1.4</v>
      </c>
      <c r="G10" s="31">
        <v>1.22</v>
      </c>
      <c r="H10" s="31">
        <v>1.25</v>
      </c>
      <c r="I10" s="31">
        <v>1.3</v>
      </c>
      <c r="J10" s="31">
        <v>1.0777000000000001</v>
      </c>
      <c r="K10" s="52">
        <f t="shared" si="0"/>
        <v>80590.725538049999</v>
      </c>
      <c r="L10" s="52">
        <f t="shared" si="4"/>
        <v>402953.62769025</v>
      </c>
    </row>
    <row r="11" spans="1:12" ht="30" customHeight="1" x14ac:dyDescent="0.2">
      <c r="A11" s="27" t="s">
        <v>2251</v>
      </c>
      <c r="B11" s="27" t="s">
        <v>2252</v>
      </c>
      <c r="C11" s="27"/>
      <c r="D11" s="31">
        <f>D10+1.733</f>
        <v>7.2663200000000003</v>
      </c>
      <c r="E11" s="52">
        <f t="shared" si="2"/>
        <v>26943</v>
      </c>
      <c r="F11" s="31">
        <v>1.4</v>
      </c>
      <c r="G11" s="31">
        <v>1.22</v>
      </c>
      <c r="H11" s="31">
        <v>1.25</v>
      </c>
      <c r="I11" s="31">
        <v>1.3</v>
      </c>
      <c r="J11" s="31">
        <v>1.0777000000000001</v>
      </c>
      <c r="K11" s="52">
        <f t="shared" si="0"/>
        <v>80590.725538049999</v>
      </c>
      <c r="L11" s="52">
        <f t="shared" si="4"/>
        <v>483544.35322829999</v>
      </c>
    </row>
    <row r="12" spans="1:12" ht="30" customHeight="1" x14ac:dyDescent="0.2">
      <c r="A12" s="27" t="s">
        <v>2253</v>
      </c>
      <c r="B12" s="27" t="s">
        <v>2254</v>
      </c>
      <c r="C12" s="27"/>
      <c r="D12" s="31">
        <f t="shared" ref="D12:D15" si="5">D11+1.18333</f>
        <v>8.4496500000000001</v>
      </c>
      <c r="E12" s="52">
        <f t="shared" si="2"/>
        <v>26943</v>
      </c>
      <c r="F12" s="31">
        <v>1.4</v>
      </c>
      <c r="G12" s="31">
        <v>1.22</v>
      </c>
      <c r="H12" s="31">
        <v>1.25</v>
      </c>
      <c r="I12" s="31">
        <v>1.3</v>
      </c>
      <c r="J12" s="31">
        <v>1.0777000000000001</v>
      </c>
      <c r="K12" s="52">
        <f t="shared" si="0"/>
        <v>80590.725538049999</v>
      </c>
      <c r="L12" s="52">
        <f t="shared" si="4"/>
        <v>564135.07876634994</v>
      </c>
    </row>
    <row r="13" spans="1:12" ht="30" customHeight="1" x14ac:dyDescent="0.2">
      <c r="A13" s="27" t="s">
        <v>2255</v>
      </c>
      <c r="B13" s="27" t="s">
        <v>2256</v>
      </c>
      <c r="C13" s="27"/>
      <c r="D13" s="31">
        <f t="shared" si="5"/>
        <v>9.6329799999999999</v>
      </c>
      <c r="E13" s="52">
        <f t="shared" si="2"/>
        <v>26943</v>
      </c>
      <c r="F13" s="31">
        <v>1.4</v>
      </c>
      <c r="G13" s="31">
        <v>1.22</v>
      </c>
      <c r="H13" s="31">
        <v>1.25</v>
      </c>
      <c r="I13" s="31">
        <v>1.3</v>
      </c>
      <c r="J13" s="31">
        <v>1.0777000000000001</v>
      </c>
      <c r="K13" s="52">
        <f t="shared" si="0"/>
        <v>80590.725538049999</v>
      </c>
      <c r="L13" s="52">
        <f t="shared" si="4"/>
        <v>644725.80430439999</v>
      </c>
    </row>
    <row r="14" spans="1:12" ht="30" customHeight="1" x14ac:dyDescent="0.2">
      <c r="A14" s="27" t="s">
        <v>2257</v>
      </c>
      <c r="B14" s="27" t="s">
        <v>2258</v>
      </c>
      <c r="C14" s="27"/>
      <c r="D14" s="31">
        <f t="shared" si="5"/>
        <v>10.81631</v>
      </c>
      <c r="E14" s="52">
        <f t="shared" si="2"/>
        <v>26943</v>
      </c>
      <c r="F14" s="31">
        <v>1.4</v>
      </c>
      <c r="G14" s="31">
        <v>1.22</v>
      </c>
      <c r="H14" s="31">
        <v>1.25</v>
      </c>
      <c r="I14" s="31">
        <v>1.3</v>
      </c>
      <c r="J14" s="31">
        <v>1.0777000000000001</v>
      </c>
      <c r="K14" s="52">
        <f t="shared" si="0"/>
        <v>80590.725538049999</v>
      </c>
      <c r="L14" s="52">
        <f t="shared" si="4"/>
        <v>725316.52984245005</v>
      </c>
    </row>
    <row r="15" spans="1:12" ht="30" customHeight="1" x14ac:dyDescent="0.2">
      <c r="A15" s="27" t="s">
        <v>2259</v>
      </c>
      <c r="B15" s="27" t="s">
        <v>2260</v>
      </c>
      <c r="C15" s="27"/>
      <c r="D15" s="31">
        <f t="shared" si="5"/>
        <v>11.999639999999999</v>
      </c>
      <c r="E15" s="52">
        <f t="shared" si="2"/>
        <v>26943</v>
      </c>
      <c r="F15" s="31">
        <v>1.4</v>
      </c>
      <c r="G15" s="31">
        <v>1.22</v>
      </c>
      <c r="H15" s="31">
        <v>1.25</v>
      </c>
      <c r="I15" s="31">
        <v>1.3</v>
      </c>
      <c r="J15" s="31">
        <v>1.0777000000000001</v>
      </c>
      <c r="K15" s="52">
        <f t="shared" si="0"/>
        <v>80590.725538049999</v>
      </c>
      <c r="L15" s="52">
        <f t="shared" si="4"/>
        <v>805907.25538050011</v>
      </c>
    </row>
    <row r="16" spans="1:12" ht="30" customHeight="1" x14ac:dyDescent="0.2">
      <c r="A16" s="27" t="s">
        <v>2261</v>
      </c>
      <c r="B16" s="27" t="s">
        <v>2262</v>
      </c>
      <c r="C16" s="27"/>
      <c r="D16" s="31">
        <f>D15+1.733</f>
        <v>13.73264</v>
      </c>
      <c r="E16" s="52">
        <f t="shared" si="2"/>
        <v>26943</v>
      </c>
      <c r="F16" s="31">
        <v>1.4</v>
      </c>
      <c r="G16" s="31">
        <v>1.22</v>
      </c>
      <c r="H16" s="31">
        <v>1.25</v>
      </c>
      <c r="I16" s="31">
        <v>1.3</v>
      </c>
      <c r="J16" s="31">
        <v>1.0777000000000001</v>
      </c>
      <c r="K16" s="52">
        <f t="shared" si="0"/>
        <v>80590.725538049999</v>
      </c>
      <c r="L16" s="52">
        <f t="shared" si="4"/>
        <v>886497.98091855017</v>
      </c>
    </row>
    <row r="17" spans="1:12" ht="30" customHeight="1" x14ac:dyDescent="0.2">
      <c r="A17" s="27" t="s">
        <v>2263</v>
      </c>
      <c r="B17" s="27" t="s">
        <v>2264</v>
      </c>
      <c r="C17" s="27"/>
      <c r="D17" s="31">
        <f t="shared" ref="D17:D20" si="6">D16+1.18333</f>
        <v>14.91597</v>
      </c>
      <c r="E17" s="52">
        <f t="shared" si="2"/>
        <v>26943</v>
      </c>
      <c r="F17" s="31">
        <v>1.4</v>
      </c>
      <c r="G17" s="31">
        <v>1.22</v>
      </c>
      <c r="H17" s="31">
        <v>1.25</v>
      </c>
      <c r="I17" s="31">
        <v>1.3</v>
      </c>
      <c r="J17" s="31">
        <v>1.0777000000000001</v>
      </c>
      <c r="K17" s="52">
        <f t="shared" si="0"/>
        <v>80590.725538049999</v>
      </c>
      <c r="L17" s="52">
        <f t="shared" si="4"/>
        <v>967088.70645660022</v>
      </c>
    </row>
    <row r="18" spans="1:12" ht="30" customHeight="1" x14ac:dyDescent="0.2">
      <c r="A18" s="27" t="s">
        <v>2265</v>
      </c>
      <c r="B18" s="27" t="s">
        <v>2266</v>
      </c>
      <c r="C18" s="27"/>
      <c r="D18" s="31">
        <f t="shared" si="6"/>
        <v>16.099299999999999</v>
      </c>
      <c r="E18" s="52">
        <f t="shared" si="2"/>
        <v>26943</v>
      </c>
      <c r="F18" s="31">
        <v>1.4</v>
      </c>
      <c r="G18" s="31">
        <v>1.22</v>
      </c>
      <c r="H18" s="31">
        <v>1.25</v>
      </c>
      <c r="I18" s="31">
        <v>1.3</v>
      </c>
      <c r="J18" s="31">
        <v>1.0777000000000001</v>
      </c>
      <c r="K18" s="52">
        <f t="shared" si="0"/>
        <v>80590.725538049999</v>
      </c>
      <c r="L18" s="52">
        <f t="shared" si="4"/>
        <v>1047679.4319946503</v>
      </c>
    </row>
    <row r="19" spans="1:12" ht="30" customHeight="1" x14ac:dyDescent="0.2">
      <c r="A19" s="27" t="s">
        <v>2267</v>
      </c>
      <c r="B19" s="27" t="s">
        <v>2268</v>
      </c>
      <c r="C19" s="27"/>
      <c r="D19" s="31">
        <f t="shared" si="6"/>
        <v>17.282630000000001</v>
      </c>
      <c r="E19" s="52">
        <f t="shared" si="2"/>
        <v>26943</v>
      </c>
      <c r="F19" s="31">
        <v>1.4</v>
      </c>
      <c r="G19" s="31">
        <v>1.22</v>
      </c>
      <c r="H19" s="31">
        <v>1.25</v>
      </c>
      <c r="I19" s="31">
        <v>1.3</v>
      </c>
      <c r="J19" s="31">
        <v>1.0777000000000001</v>
      </c>
      <c r="K19" s="52">
        <f t="shared" si="0"/>
        <v>80590.725538049999</v>
      </c>
      <c r="L19" s="52">
        <f t="shared" si="4"/>
        <v>1128270.1575327003</v>
      </c>
    </row>
    <row r="20" spans="1:12" ht="30" customHeight="1" x14ac:dyDescent="0.2">
      <c r="A20" s="27" t="s">
        <v>2269</v>
      </c>
      <c r="B20" s="27" t="s">
        <v>2270</v>
      </c>
      <c r="C20" s="27"/>
      <c r="D20" s="31">
        <f t="shared" si="6"/>
        <v>18.465960000000003</v>
      </c>
      <c r="E20" s="52">
        <f t="shared" si="2"/>
        <v>26943</v>
      </c>
      <c r="F20" s="31">
        <v>1.4</v>
      </c>
      <c r="G20" s="31">
        <v>1.22</v>
      </c>
      <c r="H20" s="31">
        <v>1.25</v>
      </c>
      <c r="I20" s="31">
        <v>1.3</v>
      </c>
      <c r="J20" s="31">
        <v>1.0777000000000001</v>
      </c>
      <c r="K20" s="52">
        <f t="shared" si="0"/>
        <v>80590.725538049999</v>
      </c>
      <c r="L20" s="52">
        <f t="shared" si="4"/>
        <v>1208860.8830707504</v>
      </c>
    </row>
    <row r="21" spans="1:12" ht="30" customHeight="1" x14ac:dyDescent="0.2">
      <c r="A21" s="27" t="s">
        <v>2271</v>
      </c>
      <c r="B21" s="27" t="s">
        <v>2272</v>
      </c>
      <c r="C21" s="27"/>
      <c r="D21" s="31">
        <f>D20+1.733</f>
        <v>20.198960000000003</v>
      </c>
      <c r="E21" s="52">
        <f t="shared" si="2"/>
        <v>26943</v>
      </c>
      <c r="F21" s="31">
        <v>1.4</v>
      </c>
      <c r="G21" s="31">
        <v>1.22</v>
      </c>
      <c r="H21" s="31">
        <v>1.25</v>
      </c>
      <c r="I21" s="31">
        <v>1.3</v>
      </c>
      <c r="J21" s="31">
        <v>1.0777000000000001</v>
      </c>
      <c r="K21" s="52">
        <f t="shared" si="0"/>
        <v>80590.725538049999</v>
      </c>
      <c r="L21" s="52">
        <f t="shared" si="4"/>
        <v>1289451.6086088005</v>
      </c>
    </row>
    <row r="22" spans="1:12" ht="30" customHeight="1" x14ac:dyDescent="0.2">
      <c r="A22" s="27" t="s">
        <v>2273</v>
      </c>
      <c r="B22" s="27" t="s">
        <v>2274</v>
      </c>
      <c r="C22" s="27"/>
      <c r="D22" s="31">
        <f t="shared" ref="D22:D25" si="7">D21+1.18333</f>
        <v>21.382290000000005</v>
      </c>
      <c r="E22" s="52">
        <f t="shared" si="2"/>
        <v>26943</v>
      </c>
      <c r="F22" s="31">
        <v>1.4</v>
      </c>
      <c r="G22" s="31">
        <v>1.22</v>
      </c>
      <c r="H22" s="31">
        <v>1.25</v>
      </c>
      <c r="I22" s="31">
        <v>1.3</v>
      </c>
      <c r="J22" s="31">
        <v>1.0777000000000001</v>
      </c>
      <c r="K22" s="52">
        <f t="shared" si="0"/>
        <v>80590.725538049999</v>
      </c>
      <c r="L22" s="52">
        <f t="shared" si="4"/>
        <v>1370042.3341468505</v>
      </c>
    </row>
    <row r="23" spans="1:12" ht="30" customHeight="1" x14ac:dyDescent="0.2">
      <c r="A23" s="27" t="s">
        <v>2275</v>
      </c>
      <c r="B23" s="27" t="s">
        <v>2276</v>
      </c>
      <c r="C23" s="27"/>
      <c r="D23" s="31">
        <f t="shared" si="7"/>
        <v>22.565620000000006</v>
      </c>
      <c r="E23" s="52">
        <f t="shared" si="2"/>
        <v>26943</v>
      </c>
      <c r="F23" s="31">
        <v>1.4</v>
      </c>
      <c r="G23" s="31">
        <v>1.22</v>
      </c>
      <c r="H23" s="31">
        <v>1.25</v>
      </c>
      <c r="I23" s="31">
        <v>1.3</v>
      </c>
      <c r="J23" s="31">
        <v>1.0777000000000001</v>
      </c>
      <c r="K23" s="52">
        <f t="shared" si="0"/>
        <v>80590.725538049999</v>
      </c>
      <c r="L23" s="52">
        <f t="shared" si="4"/>
        <v>1450633.0596849006</v>
      </c>
    </row>
    <row r="24" spans="1:12" ht="30" customHeight="1" x14ac:dyDescent="0.2">
      <c r="A24" s="27" t="s">
        <v>2277</v>
      </c>
      <c r="B24" s="27" t="s">
        <v>2278</v>
      </c>
      <c r="C24" s="27"/>
      <c r="D24" s="31">
        <f t="shared" si="7"/>
        <v>23.748950000000008</v>
      </c>
      <c r="E24" s="52">
        <f t="shared" si="2"/>
        <v>26943</v>
      </c>
      <c r="F24" s="31">
        <v>1.4</v>
      </c>
      <c r="G24" s="31">
        <v>1.22</v>
      </c>
      <c r="H24" s="31">
        <v>1.25</v>
      </c>
      <c r="I24" s="31">
        <v>1.3</v>
      </c>
      <c r="J24" s="31">
        <v>1.0777000000000001</v>
      </c>
      <c r="K24" s="52">
        <f t="shared" si="0"/>
        <v>80590.725538049999</v>
      </c>
      <c r="L24" s="52">
        <f t="shared" si="4"/>
        <v>1531223.7852229506</v>
      </c>
    </row>
    <row r="25" spans="1:12" ht="30" customHeight="1" x14ac:dyDescent="0.2">
      <c r="A25" s="27" t="s">
        <v>2279</v>
      </c>
      <c r="B25" s="27" t="s">
        <v>2280</v>
      </c>
      <c r="C25" s="27"/>
      <c r="D25" s="31">
        <f t="shared" si="7"/>
        <v>24.932280000000009</v>
      </c>
      <c r="E25" s="52">
        <f t="shared" si="2"/>
        <v>26943</v>
      </c>
      <c r="F25" s="31">
        <v>1.4</v>
      </c>
      <c r="G25" s="31">
        <v>1.22</v>
      </c>
      <c r="H25" s="31">
        <v>1.25</v>
      </c>
      <c r="I25" s="31">
        <v>1.3</v>
      </c>
      <c r="J25" s="31">
        <v>1.0777000000000001</v>
      </c>
      <c r="K25" s="52">
        <f t="shared" si="0"/>
        <v>80590.725538049999</v>
      </c>
      <c r="L25" s="52">
        <f t="shared" si="4"/>
        <v>1611814.5107610007</v>
      </c>
    </row>
    <row r="26" spans="1:12" ht="30" customHeight="1" x14ac:dyDescent="0.2">
      <c r="A26" s="27" t="s">
        <v>2281</v>
      </c>
      <c r="B26" s="27" t="s">
        <v>2282</v>
      </c>
      <c r="C26" s="27"/>
      <c r="D26" s="31">
        <f>D25+1.733</f>
        <v>26.66528000000001</v>
      </c>
      <c r="E26" s="52">
        <f t="shared" si="2"/>
        <v>26943</v>
      </c>
      <c r="F26" s="31">
        <v>1.4</v>
      </c>
      <c r="G26" s="31">
        <v>1.22</v>
      </c>
      <c r="H26" s="31">
        <v>1.25</v>
      </c>
      <c r="I26" s="31">
        <v>1.3</v>
      </c>
      <c r="J26" s="31">
        <v>1.0777000000000001</v>
      </c>
      <c r="K26" s="52">
        <f t="shared" si="0"/>
        <v>80590.725538049999</v>
      </c>
      <c r="L26" s="52">
        <f t="shared" si="4"/>
        <v>1692405.2362990507</v>
      </c>
    </row>
    <row r="27" spans="1:12" ht="30" customHeight="1" x14ac:dyDescent="0.2">
      <c r="A27" s="27" t="s">
        <v>2283</v>
      </c>
      <c r="B27" s="27" t="s">
        <v>2284</v>
      </c>
      <c r="C27" s="27"/>
      <c r="D27" s="31">
        <f>D26+1.18333</f>
        <v>27.848610000000011</v>
      </c>
      <c r="E27" s="52">
        <f t="shared" si="2"/>
        <v>26943</v>
      </c>
      <c r="F27" s="31">
        <v>1.4</v>
      </c>
      <c r="G27" s="31">
        <v>1.22</v>
      </c>
      <c r="H27" s="31">
        <v>1.25</v>
      </c>
      <c r="I27" s="31">
        <v>1.3</v>
      </c>
      <c r="J27" s="31">
        <v>1.0777000000000001</v>
      </c>
      <c r="K27" s="52">
        <f t="shared" si="0"/>
        <v>80590.725538049999</v>
      </c>
      <c r="L27" s="52">
        <f t="shared" si="4"/>
        <v>1772995.9618371008</v>
      </c>
    </row>
    <row r="28" spans="1:12" ht="30" customHeight="1" x14ac:dyDescent="0.2">
      <c r="A28" s="27" t="s">
        <v>2285</v>
      </c>
      <c r="B28" s="27" t="s">
        <v>2242</v>
      </c>
      <c r="C28" s="27"/>
      <c r="D28" s="31">
        <v>0.83299999999999996</v>
      </c>
      <c r="E28" s="52">
        <f t="shared" si="2"/>
        <v>26943</v>
      </c>
      <c r="F28" s="31"/>
      <c r="G28" s="31">
        <v>1.22</v>
      </c>
      <c r="H28" s="31">
        <v>1.25</v>
      </c>
      <c r="I28" s="31">
        <v>1.3</v>
      </c>
      <c r="J28" s="31">
        <v>1.0777000000000001</v>
      </c>
      <c r="K28" s="52">
        <f t="shared" si="0"/>
        <v>57564.803955750001</v>
      </c>
      <c r="L28" s="52">
        <f>K28</f>
        <v>57564.803955750001</v>
      </c>
    </row>
    <row r="29" spans="1:12" ht="30" customHeight="1" x14ac:dyDescent="0.2">
      <c r="A29" s="27" t="s">
        <v>2286</v>
      </c>
      <c r="B29" s="27" t="s">
        <v>2244</v>
      </c>
      <c r="C29" s="27"/>
      <c r="D29" s="31">
        <f t="shared" ref="D29:D49" si="8">D28+1.183</f>
        <v>2.016</v>
      </c>
      <c r="E29" s="52">
        <f t="shared" si="2"/>
        <v>26943</v>
      </c>
      <c r="F29" s="31">
        <v>1.2</v>
      </c>
      <c r="G29" s="31">
        <v>1.22</v>
      </c>
      <c r="H29" s="31">
        <v>1.25</v>
      </c>
      <c r="I29" s="31">
        <v>1.3</v>
      </c>
      <c r="J29" s="31">
        <v>1.0777000000000001</v>
      </c>
      <c r="K29" s="52">
        <f t="shared" si="0"/>
        <v>69077.764746900008</v>
      </c>
      <c r="L29" s="52">
        <f t="shared" ref="L29:L49" si="9">K29+L28</f>
        <v>126642.56870265001</v>
      </c>
    </row>
    <row r="30" spans="1:12" ht="30" customHeight="1" x14ac:dyDescent="0.2">
      <c r="A30" s="27" t="s">
        <v>2287</v>
      </c>
      <c r="B30" s="27" t="s">
        <v>2246</v>
      </c>
      <c r="C30" s="27"/>
      <c r="D30" s="31">
        <f t="shared" si="8"/>
        <v>3.1989999999999998</v>
      </c>
      <c r="E30" s="52">
        <f t="shared" si="2"/>
        <v>26943</v>
      </c>
      <c r="F30" s="31">
        <v>1.2</v>
      </c>
      <c r="G30" s="31">
        <v>1.22</v>
      </c>
      <c r="H30" s="31">
        <v>1.25</v>
      </c>
      <c r="I30" s="31">
        <v>1.3</v>
      </c>
      <c r="J30" s="31">
        <v>1.0777000000000001</v>
      </c>
      <c r="K30" s="52">
        <f t="shared" si="0"/>
        <v>69077.764746900008</v>
      </c>
      <c r="L30" s="52">
        <f t="shared" si="9"/>
        <v>195720.33344955003</v>
      </c>
    </row>
    <row r="31" spans="1:12" ht="30" customHeight="1" x14ac:dyDescent="0.2">
      <c r="A31" s="27" t="s">
        <v>2288</v>
      </c>
      <c r="B31" s="27" t="s">
        <v>2248</v>
      </c>
      <c r="C31" s="27"/>
      <c r="D31" s="31">
        <f t="shared" si="8"/>
        <v>4.3819999999999997</v>
      </c>
      <c r="E31" s="52">
        <f t="shared" si="2"/>
        <v>26943</v>
      </c>
      <c r="F31" s="31">
        <v>1.2</v>
      </c>
      <c r="G31" s="31">
        <v>1.22</v>
      </c>
      <c r="H31" s="31">
        <v>1.25</v>
      </c>
      <c r="I31" s="31">
        <v>1.3</v>
      </c>
      <c r="J31" s="31">
        <v>1.0777000000000001</v>
      </c>
      <c r="K31" s="52">
        <f t="shared" si="0"/>
        <v>69077.764746900008</v>
      </c>
      <c r="L31" s="52">
        <f t="shared" si="9"/>
        <v>264798.09819645004</v>
      </c>
    </row>
    <row r="32" spans="1:12" ht="30" customHeight="1" x14ac:dyDescent="0.2">
      <c r="A32" s="27" t="s">
        <v>2289</v>
      </c>
      <c r="B32" s="27" t="s">
        <v>2250</v>
      </c>
      <c r="C32" s="27"/>
      <c r="D32" s="31">
        <f t="shared" si="8"/>
        <v>5.5649999999999995</v>
      </c>
      <c r="E32" s="52">
        <f t="shared" si="2"/>
        <v>26943</v>
      </c>
      <c r="F32" s="31">
        <v>1.2</v>
      </c>
      <c r="G32" s="31">
        <v>1.22</v>
      </c>
      <c r="H32" s="31">
        <v>1.25</v>
      </c>
      <c r="I32" s="31">
        <v>1.3</v>
      </c>
      <c r="J32" s="31">
        <v>1.0777000000000001</v>
      </c>
      <c r="K32" s="52">
        <f t="shared" si="0"/>
        <v>69077.764746900008</v>
      </c>
      <c r="L32" s="52">
        <f t="shared" si="9"/>
        <v>333875.86294335005</v>
      </c>
    </row>
    <row r="33" spans="1:12" ht="30" customHeight="1" x14ac:dyDescent="0.2">
      <c r="A33" s="27" t="s">
        <v>2290</v>
      </c>
      <c r="B33" s="27" t="s">
        <v>2291</v>
      </c>
      <c r="C33" s="27"/>
      <c r="D33" s="31">
        <f t="shared" si="8"/>
        <v>6.7479999999999993</v>
      </c>
      <c r="E33" s="52">
        <f t="shared" si="2"/>
        <v>26943</v>
      </c>
      <c r="F33" s="31">
        <v>1.2</v>
      </c>
      <c r="G33" s="31">
        <v>1.22</v>
      </c>
      <c r="H33" s="31">
        <v>1.25</v>
      </c>
      <c r="I33" s="31">
        <v>1.3</v>
      </c>
      <c r="J33" s="31">
        <v>1.0777000000000001</v>
      </c>
      <c r="K33" s="52">
        <f t="shared" si="0"/>
        <v>69077.764746900008</v>
      </c>
      <c r="L33" s="52">
        <f t="shared" si="9"/>
        <v>402953.62769025005</v>
      </c>
    </row>
    <row r="34" spans="1:12" ht="30" customHeight="1" x14ac:dyDescent="0.2">
      <c r="A34" s="27" t="s">
        <v>2292</v>
      </c>
      <c r="B34" s="27" t="s">
        <v>2254</v>
      </c>
      <c r="C34" s="27"/>
      <c r="D34" s="31">
        <f t="shared" si="8"/>
        <v>7.9309999999999992</v>
      </c>
      <c r="E34" s="52">
        <f t="shared" si="2"/>
        <v>26943</v>
      </c>
      <c r="F34" s="31">
        <v>1.2</v>
      </c>
      <c r="G34" s="31">
        <v>1.22</v>
      </c>
      <c r="H34" s="31">
        <v>1.25</v>
      </c>
      <c r="I34" s="31">
        <v>1.3</v>
      </c>
      <c r="J34" s="31">
        <v>1.0777000000000001</v>
      </c>
      <c r="K34" s="52">
        <f t="shared" si="0"/>
        <v>69077.764746900008</v>
      </c>
      <c r="L34" s="52">
        <f t="shared" si="9"/>
        <v>472031.39243715006</v>
      </c>
    </row>
    <row r="35" spans="1:12" ht="30" customHeight="1" x14ac:dyDescent="0.2">
      <c r="A35" s="27" t="s">
        <v>2293</v>
      </c>
      <c r="B35" s="27" t="s">
        <v>2256</v>
      </c>
      <c r="C35" s="27"/>
      <c r="D35" s="31">
        <f t="shared" si="8"/>
        <v>9.113999999999999</v>
      </c>
      <c r="E35" s="52">
        <f t="shared" si="2"/>
        <v>26943</v>
      </c>
      <c r="F35" s="31">
        <v>1.2</v>
      </c>
      <c r="G35" s="31">
        <v>1.22</v>
      </c>
      <c r="H35" s="31">
        <v>1.25</v>
      </c>
      <c r="I35" s="31">
        <v>1.3</v>
      </c>
      <c r="J35" s="31">
        <v>1.0777000000000001</v>
      </c>
      <c r="K35" s="52">
        <f t="shared" si="0"/>
        <v>69077.764746900008</v>
      </c>
      <c r="L35" s="52">
        <f t="shared" si="9"/>
        <v>541109.15718405007</v>
      </c>
    </row>
    <row r="36" spans="1:12" ht="30" customHeight="1" x14ac:dyDescent="0.2">
      <c r="A36" s="27" t="s">
        <v>2294</v>
      </c>
      <c r="B36" s="27" t="s">
        <v>2258</v>
      </c>
      <c r="C36" s="27"/>
      <c r="D36" s="31">
        <f t="shared" si="8"/>
        <v>10.296999999999999</v>
      </c>
      <c r="E36" s="52">
        <f t="shared" si="2"/>
        <v>26943</v>
      </c>
      <c r="F36" s="31">
        <v>1.2</v>
      </c>
      <c r="G36" s="31">
        <v>1.22</v>
      </c>
      <c r="H36" s="31">
        <v>1.25</v>
      </c>
      <c r="I36" s="31">
        <v>1.3</v>
      </c>
      <c r="J36" s="31">
        <v>1.0777000000000001</v>
      </c>
      <c r="K36" s="52">
        <f t="shared" si="0"/>
        <v>69077.764746900008</v>
      </c>
      <c r="L36" s="52">
        <f t="shared" si="9"/>
        <v>610186.92193095013</v>
      </c>
    </row>
    <row r="37" spans="1:12" ht="30" customHeight="1" x14ac:dyDescent="0.2">
      <c r="A37" s="27" t="s">
        <v>2295</v>
      </c>
      <c r="B37" s="27" t="s">
        <v>2260</v>
      </c>
      <c r="C37" s="27"/>
      <c r="D37" s="31">
        <f t="shared" si="8"/>
        <v>11.479999999999999</v>
      </c>
      <c r="E37" s="52">
        <f t="shared" si="2"/>
        <v>26943</v>
      </c>
      <c r="F37" s="31">
        <v>1.2</v>
      </c>
      <c r="G37" s="31">
        <v>1.22</v>
      </c>
      <c r="H37" s="31">
        <v>1.25</v>
      </c>
      <c r="I37" s="31">
        <v>1.3</v>
      </c>
      <c r="J37" s="31">
        <v>1.0777000000000001</v>
      </c>
      <c r="K37" s="52">
        <f t="shared" si="0"/>
        <v>69077.764746900008</v>
      </c>
      <c r="L37" s="52">
        <f t="shared" si="9"/>
        <v>679264.68667785008</v>
      </c>
    </row>
    <row r="38" spans="1:12" ht="30" customHeight="1" x14ac:dyDescent="0.2">
      <c r="A38" s="27" t="s">
        <v>2296</v>
      </c>
      <c r="B38" s="27" t="s">
        <v>2297</v>
      </c>
      <c r="C38" s="27"/>
      <c r="D38" s="31">
        <f t="shared" si="8"/>
        <v>12.662999999999998</v>
      </c>
      <c r="E38" s="52">
        <f t="shared" si="2"/>
        <v>26943</v>
      </c>
      <c r="F38" s="31">
        <v>1.2</v>
      </c>
      <c r="G38" s="31">
        <v>1.22</v>
      </c>
      <c r="H38" s="31">
        <v>1.25</v>
      </c>
      <c r="I38" s="31">
        <v>1.3</v>
      </c>
      <c r="J38" s="31">
        <v>1.0777000000000001</v>
      </c>
      <c r="K38" s="52">
        <f t="shared" si="0"/>
        <v>69077.764746900008</v>
      </c>
      <c r="L38" s="52">
        <f t="shared" si="9"/>
        <v>748342.45142475003</v>
      </c>
    </row>
    <row r="39" spans="1:12" ht="30" customHeight="1" x14ac:dyDescent="0.2">
      <c r="A39" s="27" t="s">
        <v>2298</v>
      </c>
      <c r="B39" s="27" t="s">
        <v>2264</v>
      </c>
      <c r="C39" s="27"/>
      <c r="D39" s="31">
        <f t="shared" si="8"/>
        <v>13.845999999999998</v>
      </c>
      <c r="E39" s="52">
        <f t="shared" si="2"/>
        <v>26943</v>
      </c>
      <c r="F39" s="31">
        <v>1.2</v>
      </c>
      <c r="G39" s="31">
        <v>1.22</v>
      </c>
      <c r="H39" s="31">
        <v>1.25</v>
      </c>
      <c r="I39" s="31">
        <v>1.3</v>
      </c>
      <c r="J39" s="31">
        <v>1.0777000000000001</v>
      </c>
      <c r="K39" s="52">
        <f t="shared" si="0"/>
        <v>69077.764746900008</v>
      </c>
      <c r="L39" s="52">
        <f t="shared" si="9"/>
        <v>817420.21617164998</v>
      </c>
    </row>
    <row r="40" spans="1:12" ht="30" customHeight="1" x14ac:dyDescent="0.2">
      <c r="A40" s="27" t="s">
        <v>2299</v>
      </c>
      <c r="B40" s="27" t="s">
        <v>2266</v>
      </c>
      <c r="C40" s="27"/>
      <c r="D40" s="31">
        <f t="shared" si="8"/>
        <v>15.028999999999998</v>
      </c>
      <c r="E40" s="52">
        <f t="shared" si="2"/>
        <v>26943</v>
      </c>
      <c r="F40" s="31">
        <v>1.2</v>
      </c>
      <c r="G40" s="31">
        <v>1.22</v>
      </c>
      <c r="H40" s="31">
        <v>1.25</v>
      </c>
      <c r="I40" s="31">
        <v>1.3</v>
      </c>
      <c r="J40" s="31">
        <v>1.0777000000000001</v>
      </c>
      <c r="K40" s="52">
        <f t="shared" si="0"/>
        <v>69077.764746900008</v>
      </c>
      <c r="L40" s="52">
        <f t="shared" si="9"/>
        <v>886497.98091854993</v>
      </c>
    </row>
    <row r="41" spans="1:12" ht="30" customHeight="1" x14ac:dyDescent="0.2">
      <c r="A41" s="27" t="s">
        <v>2300</v>
      </c>
      <c r="B41" s="27" t="s">
        <v>2268</v>
      </c>
      <c r="C41" s="27"/>
      <c r="D41" s="31">
        <f t="shared" si="8"/>
        <v>16.212</v>
      </c>
      <c r="E41" s="52">
        <f t="shared" si="2"/>
        <v>26943</v>
      </c>
      <c r="F41" s="31">
        <v>1.2</v>
      </c>
      <c r="G41" s="31">
        <v>1.22</v>
      </c>
      <c r="H41" s="31">
        <v>1.25</v>
      </c>
      <c r="I41" s="31">
        <v>1.3</v>
      </c>
      <c r="J41" s="31">
        <v>1.0777000000000001</v>
      </c>
      <c r="K41" s="52">
        <f t="shared" si="0"/>
        <v>69077.764746900008</v>
      </c>
      <c r="L41" s="52">
        <f t="shared" si="9"/>
        <v>955575.74566544988</v>
      </c>
    </row>
    <row r="42" spans="1:12" ht="30" customHeight="1" x14ac:dyDescent="0.2">
      <c r="A42" s="27" t="s">
        <v>2301</v>
      </c>
      <c r="B42" s="27" t="s">
        <v>2270</v>
      </c>
      <c r="C42" s="27"/>
      <c r="D42" s="31">
        <f t="shared" si="8"/>
        <v>17.395</v>
      </c>
      <c r="E42" s="52">
        <f t="shared" si="2"/>
        <v>26943</v>
      </c>
      <c r="F42" s="31">
        <v>1.2</v>
      </c>
      <c r="G42" s="31">
        <v>1.22</v>
      </c>
      <c r="H42" s="31">
        <v>1.25</v>
      </c>
      <c r="I42" s="31">
        <v>1.3</v>
      </c>
      <c r="J42" s="31">
        <v>1.0777000000000001</v>
      </c>
      <c r="K42" s="52">
        <f t="shared" si="0"/>
        <v>69077.764746900008</v>
      </c>
      <c r="L42" s="52">
        <f t="shared" si="9"/>
        <v>1024653.5104123498</v>
      </c>
    </row>
    <row r="43" spans="1:12" ht="30" customHeight="1" x14ac:dyDescent="0.2">
      <c r="A43" s="27" t="s">
        <v>2302</v>
      </c>
      <c r="B43" s="27" t="s">
        <v>2303</v>
      </c>
      <c r="C43" s="27"/>
      <c r="D43" s="31">
        <f t="shared" si="8"/>
        <v>18.577999999999999</v>
      </c>
      <c r="E43" s="52">
        <f t="shared" si="2"/>
        <v>26943</v>
      </c>
      <c r="F43" s="31">
        <v>1.2</v>
      </c>
      <c r="G43" s="31">
        <v>1.22</v>
      </c>
      <c r="H43" s="31">
        <v>1.25</v>
      </c>
      <c r="I43" s="31">
        <v>1.3</v>
      </c>
      <c r="J43" s="31">
        <v>1.0777000000000001</v>
      </c>
      <c r="K43" s="52">
        <f t="shared" si="0"/>
        <v>69077.764746900008</v>
      </c>
      <c r="L43" s="52">
        <f t="shared" si="9"/>
        <v>1093731.2751592498</v>
      </c>
    </row>
    <row r="44" spans="1:12" ht="30" customHeight="1" x14ac:dyDescent="0.2">
      <c r="A44" s="27" t="s">
        <v>2304</v>
      </c>
      <c r="B44" s="27" t="s">
        <v>2274</v>
      </c>
      <c r="C44" s="27"/>
      <c r="D44" s="31">
        <f t="shared" si="8"/>
        <v>19.760999999999999</v>
      </c>
      <c r="E44" s="52">
        <f t="shared" si="2"/>
        <v>26943</v>
      </c>
      <c r="F44" s="31">
        <v>1.2</v>
      </c>
      <c r="G44" s="31">
        <v>1.22</v>
      </c>
      <c r="H44" s="31">
        <v>1.25</v>
      </c>
      <c r="I44" s="31">
        <v>1.3</v>
      </c>
      <c r="J44" s="31">
        <v>1.0777000000000001</v>
      </c>
      <c r="K44" s="52">
        <f t="shared" si="0"/>
        <v>69077.764746900008</v>
      </c>
      <c r="L44" s="52">
        <f t="shared" si="9"/>
        <v>1162809.0399061497</v>
      </c>
    </row>
    <row r="45" spans="1:12" ht="30" customHeight="1" x14ac:dyDescent="0.2">
      <c r="A45" s="27" t="s">
        <v>2305</v>
      </c>
      <c r="B45" s="27" t="s">
        <v>2276</v>
      </c>
      <c r="C45" s="27"/>
      <c r="D45" s="31">
        <f t="shared" si="8"/>
        <v>20.943999999999999</v>
      </c>
      <c r="E45" s="52">
        <f t="shared" si="2"/>
        <v>26943</v>
      </c>
      <c r="F45" s="31">
        <v>1.2</v>
      </c>
      <c r="G45" s="31">
        <v>1.22</v>
      </c>
      <c r="H45" s="31">
        <v>1.25</v>
      </c>
      <c r="I45" s="31">
        <v>1.3</v>
      </c>
      <c r="J45" s="31">
        <v>1.0777000000000001</v>
      </c>
      <c r="K45" s="52">
        <f t="shared" si="0"/>
        <v>69077.764746900008</v>
      </c>
      <c r="L45" s="52">
        <f t="shared" si="9"/>
        <v>1231886.8046530497</v>
      </c>
    </row>
    <row r="46" spans="1:12" ht="30" customHeight="1" x14ac:dyDescent="0.2">
      <c r="A46" s="27" t="s">
        <v>2306</v>
      </c>
      <c r="B46" s="27" t="s">
        <v>2278</v>
      </c>
      <c r="C46" s="27"/>
      <c r="D46" s="31">
        <f t="shared" si="8"/>
        <v>22.126999999999999</v>
      </c>
      <c r="E46" s="52">
        <f t="shared" si="2"/>
        <v>26943</v>
      </c>
      <c r="F46" s="31">
        <v>1.2</v>
      </c>
      <c r="G46" s="31">
        <v>1.22</v>
      </c>
      <c r="H46" s="31">
        <v>1.25</v>
      </c>
      <c r="I46" s="31">
        <v>1.3</v>
      </c>
      <c r="J46" s="31">
        <v>1.0777000000000001</v>
      </c>
      <c r="K46" s="52">
        <f t="shared" si="0"/>
        <v>69077.764746900008</v>
      </c>
      <c r="L46" s="52">
        <f t="shared" si="9"/>
        <v>1300964.5693999496</v>
      </c>
    </row>
    <row r="47" spans="1:12" ht="30" customHeight="1" x14ac:dyDescent="0.2">
      <c r="A47" s="27" t="s">
        <v>2307</v>
      </c>
      <c r="B47" s="27" t="s">
        <v>2280</v>
      </c>
      <c r="C47" s="27"/>
      <c r="D47" s="31">
        <f t="shared" si="8"/>
        <v>23.31</v>
      </c>
      <c r="E47" s="52">
        <f t="shared" si="2"/>
        <v>26943</v>
      </c>
      <c r="F47" s="31">
        <v>1.2</v>
      </c>
      <c r="G47" s="31">
        <v>1.22</v>
      </c>
      <c r="H47" s="31">
        <v>1.25</v>
      </c>
      <c r="I47" s="31">
        <v>1.3</v>
      </c>
      <c r="J47" s="31">
        <v>1.0777000000000001</v>
      </c>
      <c r="K47" s="52">
        <f t="shared" si="0"/>
        <v>69077.764746900008</v>
      </c>
      <c r="L47" s="52">
        <f t="shared" si="9"/>
        <v>1370042.3341468496</v>
      </c>
    </row>
    <row r="48" spans="1:12" ht="30" customHeight="1" x14ac:dyDescent="0.2">
      <c r="A48" s="27" t="s">
        <v>2308</v>
      </c>
      <c r="B48" s="27" t="s">
        <v>2309</v>
      </c>
      <c r="C48" s="27"/>
      <c r="D48" s="31">
        <f t="shared" si="8"/>
        <v>24.492999999999999</v>
      </c>
      <c r="E48" s="52">
        <f t="shared" si="2"/>
        <v>26943</v>
      </c>
      <c r="F48" s="31">
        <v>1.2</v>
      </c>
      <c r="G48" s="31">
        <v>1.22</v>
      </c>
      <c r="H48" s="31">
        <v>1.25</v>
      </c>
      <c r="I48" s="31">
        <v>1.3</v>
      </c>
      <c r="J48" s="31">
        <v>1.0777000000000001</v>
      </c>
      <c r="K48" s="52">
        <f t="shared" si="0"/>
        <v>69077.764746900008</v>
      </c>
      <c r="L48" s="52">
        <f t="shared" si="9"/>
        <v>1439120.0988937495</v>
      </c>
    </row>
    <row r="49" spans="1:12" ht="30" customHeight="1" x14ac:dyDescent="0.2">
      <c r="A49" s="27" t="s">
        <v>2310</v>
      </c>
      <c r="B49" s="27" t="s">
        <v>2284</v>
      </c>
      <c r="C49" s="27"/>
      <c r="D49" s="31">
        <f t="shared" si="8"/>
        <v>25.675999999999998</v>
      </c>
      <c r="E49" s="52">
        <f t="shared" si="2"/>
        <v>26943</v>
      </c>
      <c r="F49" s="31">
        <v>1.2</v>
      </c>
      <c r="G49" s="31">
        <v>1.22</v>
      </c>
      <c r="H49" s="31">
        <v>1.25</v>
      </c>
      <c r="I49" s="31">
        <v>1.3</v>
      </c>
      <c r="J49" s="31">
        <v>1.0777000000000001</v>
      </c>
      <c r="K49" s="52">
        <f t="shared" si="0"/>
        <v>69077.764746900008</v>
      </c>
      <c r="L49" s="52">
        <f t="shared" si="9"/>
        <v>1508197.8636406495</v>
      </c>
    </row>
    <row r="50" spans="1:12" ht="30" customHeight="1" x14ac:dyDescent="0.2">
      <c r="A50" s="27" t="s">
        <v>2311</v>
      </c>
      <c r="B50" s="27" t="s">
        <v>2242</v>
      </c>
      <c r="C50" s="27"/>
      <c r="D50" s="31">
        <v>0.216</v>
      </c>
      <c r="E50" s="52">
        <v>35506</v>
      </c>
      <c r="F50" s="31">
        <v>1.4379999999999999</v>
      </c>
      <c r="G50" s="31">
        <v>1.22</v>
      </c>
      <c r="H50" s="31">
        <v>1.25</v>
      </c>
      <c r="I50" s="31">
        <v>1.3</v>
      </c>
      <c r="J50" s="31">
        <v>1.0777000000000001</v>
      </c>
      <c r="K50" s="52">
        <f t="shared" si="0"/>
        <v>109086.677291527</v>
      </c>
      <c r="L50" s="52">
        <f>K50</f>
        <v>109086.677291527</v>
      </c>
    </row>
    <row r="51" spans="1:12" ht="30" customHeight="1" x14ac:dyDescent="0.2">
      <c r="A51" s="27" t="s">
        <v>2312</v>
      </c>
      <c r="B51" s="27" t="s">
        <v>2244</v>
      </c>
      <c r="C51" s="27"/>
      <c r="D51" s="31">
        <f t="shared" ref="D51:D54" si="10">D50+0.5</f>
        <v>0.71599999999999997</v>
      </c>
      <c r="E51" s="52">
        <v>35506</v>
      </c>
      <c r="F51" s="31">
        <v>1.4379999999999999</v>
      </c>
      <c r="G51" s="31">
        <v>1.22</v>
      </c>
      <c r="H51" s="31">
        <v>1.25</v>
      </c>
      <c r="I51" s="31">
        <v>1.3</v>
      </c>
      <c r="J51" s="31">
        <v>1.0777000000000001</v>
      </c>
      <c r="K51" s="52">
        <f t="shared" si="0"/>
        <v>109086.677291527</v>
      </c>
      <c r="L51" s="52">
        <f t="shared" ref="L51:L68" si="11">K51+L50</f>
        <v>218173.354583054</v>
      </c>
    </row>
    <row r="52" spans="1:12" ht="30" customHeight="1" x14ac:dyDescent="0.2">
      <c r="A52" s="27" t="s">
        <v>2313</v>
      </c>
      <c r="B52" s="27" t="s">
        <v>2246</v>
      </c>
      <c r="C52" s="27"/>
      <c r="D52" s="31">
        <f t="shared" si="10"/>
        <v>1.216</v>
      </c>
      <c r="E52" s="52">
        <v>35506</v>
      </c>
      <c r="F52" s="31">
        <v>1.4379999999999999</v>
      </c>
      <c r="G52" s="31">
        <v>1.22</v>
      </c>
      <c r="H52" s="31">
        <v>1.25</v>
      </c>
      <c r="I52" s="31">
        <v>1.3</v>
      </c>
      <c r="J52" s="31">
        <v>1.0777000000000001</v>
      </c>
      <c r="K52" s="52">
        <f t="shared" si="0"/>
        <v>109086.677291527</v>
      </c>
      <c r="L52" s="52">
        <f t="shared" si="11"/>
        <v>327260.03187458101</v>
      </c>
    </row>
    <row r="53" spans="1:12" ht="30" customHeight="1" x14ac:dyDescent="0.2">
      <c r="A53" s="27" t="s">
        <v>2314</v>
      </c>
      <c r="B53" s="27" t="s">
        <v>2248</v>
      </c>
      <c r="C53" s="27"/>
      <c r="D53" s="31">
        <f t="shared" si="10"/>
        <v>1.716</v>
      </c>
      <c r="E53" s="52">
        <v>35506</v>
      </c>
      <c r="F53" s="31">
        <v>1.4379999999999999</v>
      </c>
      <c r="G53" s="31">
        <v>1.22</v>
      </c>
      <c r="H53" s="31">
        <v>1.25</v>
      </c>
      <c r="I53" s="31">
        <v>1.3</v>
      </c>
      <c r="J53" s="31">
        <v>1.0777000000000001</v>
      </c>
      <c r="K53" s="52">
        <f t="shared" si="0"/>
        <v>109086.677291527</v>
      </c>
      <c r="L53" s="52">
        <f t="shared" si="11"/>
        <v>436346.70916610799</v>
      </c>
    </row>
    <row r="54" spans="1:12" ht="30" customHeight="1" x14ac:dyDescent="0.2">
      <c r="A54" s="27" t="s">
        <v>2315</v>
      </c>
      <c r="B54" s="27" t="s">
        <v>2250</v>
      </c>
      <c r="C54" s="27"/>
      <c r="D54" s="31">
        <f t="shared" si="10"/>
        <v>2.2160000000000002</v>
      </c>
      <c r="E54" s="52">
        <v>35506</v>
      </c>
      <c r="F54" s="31">
        <v>1.4379999999999999</v>
      </c>
      <c r="G54" s="31">
        <v>1.22</v>
      </c>
      <c r="H54" s="31">
        <v>1.25</v>
      </c>
      <c r="I54" s="31">
        <v>1.3</v>
      </c>
      <c r="J54" s="31">
        <v>1.0777000000000001</v>
      </c>
      <c r="K54" s="52">
        <f t="shared" si="0"/>
        <v>109086.677291527</v>
      </c>
      <c r="L54" s="52">
        <f t="shared" si="11"/>
        <v>545433.38645763497</v>
      </c>
    </row>
    <row r="55" spans="1:12" ht="30" customHeight="1" x14ac:dyDescent="0.2">
      <c r="A55" s="27" t="s">
        <v>2316</v>
      </c>
      <c r="B55" s="27" t="s">
        <v>2252</v>
      </c>
      <c r="C55" s="27"/>
      <c r="D55" s="31">
        <f>D54+0.966</f>
        <v>3.1820000000000004</v>
      </c>
      <c r="E55" s="52">
        <v>35506</v>
      </c>
      <c r="F55" s="31">
        <v>1.4379999999999999</v>
      </c>
      <c r="G55" s="31">
        <v>1.22</v>
      </c>
      <c r="H55" s="31">
        <v>1.25</v>
      </c>
      <c r="I55" s="31">
        <v>1.3</v>
      </c>
      <c r="J55" s="31">
        <v>1.0777000000000001</v>
      </c>
      <c r="K55" s="52">
        <f t="shared" si="0"/>
        <v>109086.677291527</v>
      </c>
      <c r="L55" s="52">
        <f t="shared" si="11"/>
        <v>654520.06374916201</v>
      </c>
    </row>
    <row r="56" spans="1:12" ht="30" customHeight="1" x14ac:dyDescent="0.2">
      <c r="A56" s="27" t="s">
        <v>2317</v>
      </c>
      <c r="B56" s="27" t="s">
        <v>2254</v>
      </c>
      <c r="C56" s="27"/>
      <c r="D56" s="31">
        <f t="shared" ref="D56:D59" si="12">D55+0.5</f>
        <v>3.6820000000000004</v>
      </c>
      <c r="E56" s="52">
        <v>35506</v>
      </c>
      <c r="F56" s="31">
        <v>1.4379999999999999</v>
      </c>
      <c r="G56" s="31">
        <v>1.22</v>
      </c>
      <c r="H56" s="31">
        <v>1.25</v>
      </c>
      <c r="I56" s="31">
        <v>1.3</v>
      </c>
      <c r="J56" s="31">
        <v>1.0777000000000001</v>
      </c>
      <c r="K56" s="52">
        <f t="shared" si="0"/>
        <v>109086.677291527</v>
      </c>
      <c r="L56" s="52">
        <f t="shared" si="11"/>
        <v>763606.74104068906</v>
      </c>
    </row>
    <row r="57" spans="1:12" ht="30" customHeight="1" x14ac:dyDescent="0.2">
      <c r="A57" s="27" t="s">
        <v>2318</v>
      </c>
      <c r="B57" s="27" t="s">
        <v>2256</v>
      </c>
      <c r="C57" s="27"/>
      <c r="D57" s="31">
        <f t="shared" si="12"/>
        <v>4.1820000000000004</v>
      </c>
      <c r="E57" s="52">
        <v>35506</v>
      </c>
      <c r="F57" s="31">
        <v>1.4379999999999999</v>
      </c>
      <c r="G57" s="31">
        <v>1.22</v>
      </c>
      <c r="H57" s="31">
        <v>1.25</v>
      </c>
      <c r="I57" s="31">
        <v>1.3</v>
      </c>
      <c r="J57" s="31">
        <v>1.0777000000000001</v>
      </c>
      <c r="K57" s="52">
        <f t="shared" si="0"/>
        <v>109086.677291527</v>
      </c>
      <c r="L57" s="52">
        <f t="shared" si="11"/>
        <v>872693.4183322161</v>
      </c>
    </row>
    <row r="58" spans="1:12" ht="30" customHeight="1" x14ac:dyDescent="0.2">
      <c r="A58" s="27" t="s">
        <v>2319</v>
      </c>
      <c r="B58" s="27" t="s">
        <v>2258</v>
      </c>
      <c r="C58" s="27"/>
      <c r="D58" s="31">
        <f t="shared" si="12"/>
        <v>4.6820000000000004</v>
      </c>
      <c r="E58" s="52">
        <v>35506</v>
      </c>
      <c r="F58" s="31">
        <v>1.4379999999999999</v>
      </c>
      <c r="G58" s="31">
        <v>1.22</v>
      </c>
      <c r="H58" s="31">
        <v>1.25</v>
      </c>
      <c r="I58" s="31">
        <v>1.3</v>
      </c>
      <c r="J58" s="31">
        <v>1.0777000000000001</v>
      </c>
      <c r="K58" s="52">
        <f t="shared" si="0"/>
        <v>109086.677291527</v>
      </c>
      <c r="L58" s="52">
        <f t="shared" si="11"/>
        <v>981780.09562374314</v>
      </c>
    </row>
    <row r="59" spans="1:12" ht="30" customHeight="1" x14ac:dyDescent="0.2">
      <c r="A59" s="27" t="s">
        <v>2320</v>
      </c>
      <c r="B59" s="27" t="s">
        <v>2260</v>
      </c>
      <c r="C59" s="27"/>
      <c r="D59" s="31">
        <f t="shared" si="12"/>
        <v>5.1820000000000004</v>
      </c>
      <c r="E59" s="52">
        <v>35506</v>
      </c>
      <c r="F59" s="31">
        <v>1.4379999999999999</v>
      </c>
      <c r="G59" s="31">
        <v>1.22</v>
      </c>
      <c r="H59" s="31">
        <v>1.25</v>
      </c>
      <c r="I59" s="31">
        <v>1.3</v>
      </c>
      <c r="J59" s="31">
        <v>1.0777000000000001</v>
      </c>
      <c r="K59" s="52">
        <f t="shared" si="0"/>
        <v>109086.677291527</v>
      </c>
      <c r="L59" s="52">
        <f t="shared" si="11"/>
        <v>1090866.7729152702</v>
      </c>
    </row>
    <row r="60" spans="1:12" ht="30" customHeight="1" x14ac:dyDescent="0.2">
      <c r="A60" s="27" t="s">
        <v>2321</v>
      </c>
      <c r="B60" s="27" t="s">
        <v>2262</v>
      </c>
      <c r="C60" s="27"/>
      <c r="D60" s="31">
        <f>D59+0.966</f>
        <v>6.1480000000000006</v>
      </c>
      <c r="E60" s="52">
        <v>35506</v>
      </c>
      <c r="F60" s="31">
        <v>1.4379999999999999</v>
      </c>
      <c r="G60" s="31">
        <v>1.22</v>
      </c>
      <c r="H60" s="31">
        <v>1.25</v>
      </c>
      <c r="I60" s="31">
        <v>1.3</v>
      </c>
      <c r="J60" s="31">
        <v>1.0777000000000001</v>
      </c>
      <c r="K60" s="52">
        <f t="shared" si="0"/>
        <v>109086.677291527</v>
      </c>
      <c r="L60" s="52">
        <f t="shared" si="11"/>
        <v>1199953.4502067971</v>
      </c>
    </row>
    <row r="61" spans="1:12" ht="30" customHeight="1" x14ac:dyDescent="0.2">
      <c r="A61" s="27" t="s">
        <v>2322</v>
      </c>
      <c r="B61" s="27" t="s">
        <v>2264</v>
      </c>
      <c r="C61" s="27"/>
      <c r="D61" s="31">
        <f t="shared" ref="D61:D64" si="13">D60+0.5</f>
        <v>6.6480000000000006</v>
      </c>
      <c r="E61" s="52">
        <v>35506</v>
      </c>
      <c r="F61" s="31">
        <v>1.4379999999999999</v>
      </c>
      <c r="G61" s="31">
        <v>1.22</v>
      </c>
      <c r="H61" s="31">
        <v>1.25</v>
      </c>
      <c r="I61" s="31">
        <v>1.3</v>
      </c>
      <c r="J61" s="31">
        <v>1.0777000000000001</v>
      </c>
      <c r="K61" s="52">
        <f t="shared" si="0"/>
        <v>109086.677291527</v>
      </c>
      <c r="L61" s="52">
        <f t="shared" si="11"/>
        <v>1309040.127498324</v>
      </c>
    </row>
    <row r="62" spans="1:12" ht="30" customHeight="1" x14ac:dyDescent="0.2">
      <c r="A62" s="27" t="s">
        <v>2323</v>
      </c>
      <c r="B62" s="27" t="s">
        <v>2266</v>
      </c>
      <c r="C62" s="27"/>
      <c r="D62" s="31">
        <f t="shared" si="13"/>
        <v>7.1480000000000006</v>
      </c>
      <c r="E62" s="52">
        <v>35506</v>
      </c>
      <c r="F62" s="31">
        <v>1.4379999999999999</v>
      </c>
      <c r="G62" s="31">
        <v>1.22</v>
      </c>
      <c r="H62" s="31">
        <v>1.25</v>
      </c>
      <c r="I62" s="31">
        <v>1.3</v>
      </c>
      <c r="J62" s="31">
        <v>1.0777000000000001</v>
      </c>
      <c r="K62" s="52">
        <f t="shared" si="0"/>
        <v>109086.677291527</v>
      </c>
      <c r="L62" s="52">
        <f t="shared" si="11"/>
        <v>1418126.804789851</v>
      </c>
    </row>
    <row r="63" spans="1:12" ht="30" customHeight="1" x14ac:dyDescent="0.2">
      <c r="A63" s="27" t="s">
        <v>2324</v>
      </c>
      <c r="B63" s="27" t="s">
        <v>2268</v>
      </c>
      <c r="C63" s="27"/>
      <c r="D63" s="31">
        <f t="shared" si="13"/>
        <v>7.6480000000000006</v>
      </c>
      <c r="E63" s="52">
        <v>35506</v>
      </c>
      <c r="F63" s="31">
        <v>1.4379999999999999</v>
      </c>
      <c r="G63" s="31">
        <v>1.22</v>
      </c>
      <c r="H63" s="31">
        <v>1.25</v>
      </c>
      <c r="I63" s="31">
        <v>1.3</v>
      </c>
      <c r="J63" s="31">
        <v>1.0777000000000001</v>
      </c>
      <c r="K63" s="52">
        <f t="shared" si="0"/>
        <v>109086.677291527</v>
      </c>
      <c r="L63" s="52">
        <f t="shared" si="11"/>
        <v>1527213.4820813779</v>
      </c>
    </row>
    <row r="64" spans="1:12" ht="30" customHeight="1" x14ac:dyDescent="0.2">
      <c r="A64" s="27" t="s">
        <v>2325</v>
      </c>
      <c r="B64" s="27" t="s">
        <v>2270</v>
      </c>
      <c r="C64" s="27"/>
      <c r="D64" s="31">
        <f t="shared" si="13"/>
        <v>8.1479999999999997</v>
      </c>
      <c r="E64" s="52">
        <v>35506</v>
      </c>
      <c r="F64" s="31">
        <v>1.4379999999999999</v>
      </c>
      <c r="G64" s="31">
        <v>1.22</v>
      </c>
      <c r="H64" s="31">
        <v>1.25</v>
      </c>
      <c r="I64" s="31">
        <v>1.3</v>
      </c>
      <c r="J64" s="31">
        <v>1.0777000000000001</v>
      </c>
      <c r="K64" s="52">
        <f t="shared" si="0"/>
        <v>109086.677291527</v>
      </c>
      <c r="L64" s="52">
        <f t="shared" si="11"/>
        <v>1636300.1593729048</v>
      </c>
    </row>
    <row r="65" spans="1:12" ht="30" customHeight="1" x14ac:dyDescent="0.2">
      <c r="A65" s="27" t="s">
        <v>2326</v>
      </c>
      <c r="B65" s="27" t="s">
        <v>2272</v>
      </c>
      <c r="C65" s="27"/>
      <c r="D65" s="31">
        <f>D64+0.966</f>
        <v>9.113999999999999</v>
      </c>
      <c r="E65" s="52">
        <v>35506</v>
      </c>
      <c r="F65" s="31">
        <v>1.4379999999999999</v>
      </c>
      <c r="G65" s="31">
        <v>1.22</v>
      </c>
      <c r="H65" s="31">
        <v>1.25</v>
      </c>
      <c r="I65" s="31">
        <v>1.3</v>
      </c>
      <c r="J65" s="31">
        <v>1.0777000000000001</v>
      </c>
      <c r="K65" s="52">
        <f t="shared" si="0"/>
        <v>109086.677291527</v>
      </c>
      <c r="L65" s="52">
        <f t="shared" si="11"/>
        <v>1745386.8366644317</v>
      </c>
    </row>
    <row r="66" spans="1:12" ht="30" customHeight="1" x14ac:dyDescent="0.2">
      <c r="A66" s="27" t="s">
        <v>2327</v>
      </c>
      <c r="B66" s="27" t="s">
        <v>2274</v>
      </c>
      <c r="C66" s="27"/>
      <c r="D66" s="31">
        <f t="shared" ref="D66:D68" si="14">D65+0.5</f>
        <v>9.613999999999999</v>
      </c>
      <c r="E66" s="52">
        <v>35506</v>
      </c>
      <c r="F66" s="31">
        <v>1.4379999999999999</v>
      </c>
      <c r="G66" s="31">
        <v>1.22</v>
      </c>
      <c r="H66" s="31">
        <v>1.25</v>
      </c>
      <c r="I66" s="31">
        <v>1.3</v>
      </c>
      <c r="J66" s="31">
        <v>1.0777000000000001</v>
      </c>
      <c r="K66" s="52">
        <f t="shared" si="0"/>
        <v>109086.677291527</v>
      </c>
      <c r="L66" s="52">
        <f t="shared" si="11"/>
        <v>1854473.5139559587</v>
      </c>
    </row>
    <row r="67" spans="1:12" ht="30" customHeight="1" x14ac:dyDescent="0.2">
      <c r="A67" s="27" t="s">
        <v>2328</v>
      </c>
      <c r="B67" s="27" t="s">
        <v>2276</v>
      </c>
      <c r="C67" s="27"/>
      <c r="D67" s="31">
        <f t="shared" si="14"/>
        <v>10.113999999999999</v>
      </c>
      <c r="E67" s="52">
        <v>35506</v>
      </c>
      <c r="F67" s="31">
        <v>1.4379999999999999</v>
      </c>
      <c r="G67" s="31">
        <v>1.22</v>
      </c>
      <c r="H67" s="31">
        <v>1.25</v>
      </c>
      <c r="I67" s="31">
        <v>1.3</v>
      </c>
      <c r="J67" s="31">
        <v>1.0777000000000001</v>
      </c>
      <c r="K67" s="52">
        <f t="shared" si="0"/>
        <v>109086.677291527</v>
      </c>
      <c r="L67" s="52">
        <f t="shared" si="11"/>
        <v>1963560.1912474856</v>
      </c>
    </row>
    <row r="68" spans="1:12" ht="30" customHeight="1" x14ac:dyDescent="0.2">
      <c r="A68" s="27" t="s">
        <v>2329</v>
      </c>
      <c r="B68" s="27" t="s">
        <v>2278</v>
      </c>
      <c r="C68" s="27"/>
      <c r="D68" s="31">
        <f t="shared" si="14"/>
        <v>10.613999999999999</v>
      </c>
      <c r="E68" s="52">
        <v>35506</v>
      </c>
      <c r="F68" s="31">
        <v>1.4379999999999999</v>
      </c>
      <c r="G68" s="31">
        <v>1.22</v>
      </c>
      <c r="H68" s="31">
        <v>1.25</v>
      </c>
      <c r="I68" s="31">
        <v>1.3</v>
      </c>
      <c r="J68" s="31">
        <v>1.0777000000000001</v>
      </c>
      <c r="K68" s="52">
        <f t="shared" si="0"/>
        <v>109086.677291527</v>
      </c>
      <c r="L68" s="52">
        <f t="shared" si="11"/>
        <v>2072646.8685390125</v>
      </c>
    </row>
    <row r="69" spans="1:12" ht="30" customHeight="1" x14ac:dyDescent="0.2">
      <c r="A69" s="27" t="s">
        <v>2330</v>
      </c>
      <c r="B69" s="27" t="s">
        <v>2331</v>
      </c>
      <c r="C69" s="27"/>
      <c r="D69" s="31">
        <v>0.3</v>
      </c>
      <c r="E69" s="52">
        <v>95924</v>
      </c>
      <c r="F69" s="31">
        <v>1.2889999999999999</v>
      </c>
      <c r="G69" s="31">
        <v>1.22</v>
      </c>
      <c r="H69" s="31">
        <v>1.25</v>
      </c>
      <c r="I69" s="31">
        <v>1.3</v>
      </c>
      <c r="J69" s="31">
        <v>1.0777000000000001</v>
      </c>
      <c r="K69" s="52">
        <f t="shared" si="0"/>
        <v>264174.73266694904</v>
      </c>
      <c r="L69" s="52">
        <f>K69</f>
        <v>264174.73266694904</v>
      </c>
    </row>
    <row r="70" spans="1:12" ht="30" customHeight="1" x14ac:dyDescent="0.2">
      <c r="A70" s="27" t="s">
        <v>2332</v>
      </c>
      <c r="B70" s="27" t="s">
        <v>2333</v>
      </c>
      <c r="C70" s="27"/>
      <c r="D70" s="31">
        <f>D69+1.466</f>
        <v>1.766</v>
      </c>
      <c r="E70" s="52">
        <v>95924</v>
      </c>
      <c r="F70" s="31">
        <v>1.2889999999999999</v>
      </c>
      <c r="G70" s="31">
        <v>1.22</v>
      </c>
      <c r="H70" s="31">
        <v>1.25</v>
      </c>
      <c r="I70" s="31">
        <v>1.3</v>
      </c>
      <c r="J70" s="31">
        <v>1.0777000000000001</v>
      </c>
      <c r="K70" s="52">
        <f t="shared" si="0"/>
        <v>264174.73266694904</v>
      </c>
      <c r="L70" s="52">
        <f t="shared" ref="L70:L77" si="15">K70+L69</f>
        <v>528349.46533389809</v>
      </c>
    </row>
    <row r="71" spans="1:12" ht="30" customHeight="1" x14ac:dyDescent="0.2">
      <c r="A71" s="27" t="s">
        <v>2334</v>
      </c>
      <c r="B71" s="27" t="s">
        <v>2335</v>
      </c>
      <c r="C71" s="27"/>
      <c r="D71" s="31">
        <f>D70+2.133</f>
        <v>3.899</v>
      </c>
      <c r="E71" s="52">
        <v>95924</v>
      </c>
      <c r="F71" s="31">
        <v>1.2889999999999999</v>
      </c>
      <c r="G71" s="31">
        <v>1.22</v>
      </c>
      <c r="H71" s="31">
        <v>1.25</v>
      </c>
      <c r="I71" s="31">
        <v>1.3</v>
      </c>
      <c r="J71" s="31">
        <v>1.0777000000000001</v>
      </c>
      <c r="K71" s="52">
        <f t="shared" si="0"/>
        <v>264174.73266694904</v>
      </c>
      <c r="L71" s="52">
        <f t="shared" si="15"/>
        <v>792524.19800084713</v>
      </c>
    </row>
    <row r="72" spans="1:12" ht="30" customHeight="1" x14ac:dyDescent="0.2">
      <c r="A72" s="27" t="s">
        <v>2336</v>
      </c>
      <c r="B72" s="27" t="s">
        <v>2337</v>
      </c>
      <c r="C72" s="27"/>
      <c r="D72" s="31">
        <f>D71+1.466</f>
        <v>5.3650000000000002</v>
      </c>
      <c r="E72" s="52">
        <v>95924</v>
      </c>
      <c r="F72" s="31">
        <v>1.2889999999999999</v>
      </c>
      <c r="G72" s="31">
        <v>1.22</v>
      </c>
      <c r="H72" s="31">
        <v>1.25</v>
      </c>
      <c r="I72" s="31">
        <v>1.3</v>
      </c>
      <c r="J72" s="31">
        <v>1.0777000000000001</v>
      </c>
      <c r="K72" s="52">
        <f t="shared" si="0"/>
        <v>264174.73266694904</v>
      </c>
      <c r="L72" s="52">
        <f t="shared" si="15"/>
        <v>1056698.9306677962</v>
      </c>
    </row>
    <row r="73" spans="1:12" ht="30" customHeight="1" x14ac:dyDescent="0.2">
      <c r="A73" s="27" t="s">
        <v>2338</v>
      </c>
      <c r="B73" s="27" t="s">
        <v>2339</v>
      </c>
      <c r="C73" s="27"/>
      <c r="D73" s="31">
        <f>D72+2.133</f>
        <v>7.4980000000000002</v>
      </c>
      <c r="E73" s="52">
        <v>95924</v>
      </c>
      <c r="F73" s="31">
        <v>1.2889999999999999</v>
      </c>
      <c r="G73" s="31">
        <v>1.22</v>
      </c>
      <c r="H73" s="31">
        <v>1.25</v>
      </c>
      <c r="I73" s="31">
        <v>1.3</v>
      </c>
      <c r="J73" s="31">
        <v>1.0777000000000001</v>
      </c>
      <c r="K73" s="52">
        <f t="shared" si="0"/>
        <v>264174.73266694904</v>
      </c>
      <c r="L73" s="52">
        <f t="shared" si="15"/>
        <v>1320873.6633347452</v>
      </c>
    </row>
    <row r="74" spans="1:12" ht="30" customHeight="1" x14ac:dyDescent="0.2">
      <c r="A74" s="27" t="s">
        <v>2340</v>
      </c>
      <c r="B74" s="27" t="s">
        <v>2341</v>
      </c>
      <c r="C74" s="27"/>
      <c r="D74" s="31">
        <f>D73+1.466</f>
        <v>8.9640000000000004</v>
      </c>
      <c r="E74" s="52">
        <v>95924</v>
      </c>
      <c r="F74" s="31">
        <v>1.2889999999999999</v>
      </c>
      <c r="G74" s="31">
        <v>1.22</v>
      </c>
      <c r="H74" s="31">
        <v>1.25</v>
      </c>
      <c r="I74" s="31">
        <v>1.3</v>
      </c>
      <c r="J74" s="31">
        <v>1.0777000000000001</v>
      </c>
      <c r="K74" s="52">
        <f t="shared" si="0"/>
        <v>264174.73266694904</v>
      </c>
      <c r="L74" s="52">
        <f t="shared" si="15"/>
        <v>1585048.3960016943</v>
      </c>
    </row>
    <row r="75" spans="1:12" ht="30" customHeight="1" x14ac:dyDescent="0.2">
      <c r="A75" s="27" t="s">
        <v>2342</v>
      </c>
      <c r="B75" s="27" t="s">
        <v>2343</v>
      </c>
      <c r="C75" s="27"/>
      <c r="D75" s="31">
        <f>D74+2.133</f>
        <v>11.097000000000001</v>
      </c>
      <c r="E75" s="52">
        <v>95924</v>
      </c>
      <c r="F75" s="31">
        <v>1.2889999999999999</v>
      </c>
      <c r="G75" s="31">
        <v>1.22</v>
      </c>
      <c r="H75" s="31">
        <v>1.25</v>
      </c>
      <c r="I75" s="31">
        <v>1.3</v>
      </c>
      <c r="J75" s="31">
        <v>1.0777000000000001</v>
      </c>
      <c r="K75" s="52">
        <f t="shared" si="0"/>
        <v>264174.73266694904</v>
      </c>
      <c r="L75" s="52">
        <f t="shared" si="15"/>
        <v>1849223.1286686433</v>
      </c>
    </row>
    <row r="76" spans="1:12" ht="30" customHeight="1" x14ac:dyDescent="0.2">
      <c r="A76" s="27" t="s">
        <v>2344</v>
      </c>
      <c r="B76" s="27" t="s">
        <v>2345</v>
      </c>
      <c r="C76" s="27"/>
      <c r="D76" s="31">
        <f>D75+1.466</f>
        <v>12.563000000000001</v>
      </c>
      <c r="E76" s="52">
        <v>95924</v>
      </c>
      <c r="F76" s="31">
        <v>1.2889999999999999</v>
      </c>
      <c r="G76" s="31">
        <v>1.22</v>
      </c>
      <c r="H76" s="31">
        <v>1.25</v>
      </c>
      <c r="I76" s="31">
        <v>1.3</v>
      </c>
      <c r="J76" s="31">
        <v>1.0777000000000001</v>
      </c>
      <c r="K76" s="52">
        <f t="shared" si="0"/>
        <v>264174.73266694904</v>
      </c>
      <c r="L76" s="52">
        <f t="shared" si="15"/>
        <v>2113397.8613355923</v>
      </c>
    </row>
    <row r="77" spans="1:12" ht="30" customHeight="1" x14ac:dyDescent="0.2">
      <c r="A77" s="27" t="s">
        <v>2346</v>
      </c>
      <c r="B77" s="27" t="s">
        <v>2347</v>
      </c>
      <c r="C77" s="27"/>
      <c r="D77" s="31">
        <f>D76+2.133</f>
        <v>14.696000000000002</v>
      </c>
      <c r="E77" s="52">
        <v>95924</v>
      </c>
      <c r="F77" s="31">
        <v>1.2889999999999999</v>
      </c>
      <c r="G77" s="31">
        <v>1.22</v>
      </c>
      <c r="H77" s="31">
        <v>1.25</v>
      </c>
      <c r="I77" s="31">
        <v>1.3</v>
      </c>
      <c r="J77" s="31">
        <v>1.0777000000000001</v>
      </c>
      <c r="K77" s="52">
        <f t="shared" si="0"/>
        <v>264174.73266694904</v>
      </c>
      <c r="L77" s="52">
        <f t="shared" si="15"/>
        <v>2377572.5940025412</v>
      </c>
    </row>
    <row r="78" spans="1:12" ht="30" customHeight="1" x14ac:dyDescent="0.2">
      <c r="A78" s="27" t="s">
        <v>2348</v>
      </c>
      <c r="B78" s="27" t="s">
        <v>2331</v>
      </c>
      <c r="C78" s="27"/>
      <c r="D78" s="31">
        <v>0.3</v>
      </c>
      <c r="E78" s="52">
        <v>95924</v>
      </c>
      <c r="F78" s="31">
        <v>1.2889999999999999</v>
      </c>
      <c r="G78" s="31">
        <v>1.22</v>
      </c>
      <c r="H78" s="31">
        <v>1.25</v>
      </c>
      <c r="I78" s="31">
        <v>1.3</v>
      </c>
      <c r="J78" s="31">
        <v>1.0777000000000001</v>
      </c>
      <c r="K78" s="52">
        <f t="shared" si="0"/>
        <v>264174.73266694904</v>
      </c>
      <c r="L78" s="52">
        <f>K78</f>
        <v>264174.73266694904</v>
      </c>
    </row>
    <row r="79" spans="1:12" ht="30" customHeight="1" x14ac:dyDescent="0.2">
      <c r="A79" s="27" t="s">
        <v>2349</v>
      </c>
      <c r="B79" s="27" t="s">
        <v>2333</v>
      </c>
      <c r="C79" s="27"/>
      <c r="D79" s="31">
        <f>D78+1.183</f>
        <v>1.4830000000000001</v>
      </c>
      <c r="E79" s="52">
        <v>95924</v>
      </c>
      <c r="F79" s="31">
        <v>1.2889999999999999</v>
      </c>
      <c r="G79" s="31">
        <v>1.22</v>
      </c>
      <c r="H79" s="31">
        <v>1.25</v>
      </c>
      <c r="I79" s="31">
        <v>1.3</v>
      </c>
      <c r="J79" s="31">
        <v>1.0777000000000001</v>
      </c>
      <c r="K79" s="52">
        <f t="shared" si="0"/>
        <v>264174.73266694904</v>
      </c>
      <c r="L79" s="52">
        <f t="shared" ref="L79:L86" si="16">K79+L78</f>
        <v>528349.46533389809</v>
      </c>
    </row>
    <row r="80" spans="1:12" ht="30" customHeight="1" x14ac:dyDescent="0.2">
      <c r="A80" s="27" t="s">
        <v>2350</v>
      </c>
      <c r="B80" s="27" t="s">
        <v>2335</v>
      </c>
      <c r="C80" s="27"/>
      <c r="D80" s="31">
        <f t="shared" ref="D80:D86" si="17">D79+2.133</f>
        <v>3.6160000000000001</v>
      </c>
      <c r="E80" s="52">
        <v>95924</v>
      </c>
      <c r="F80" s="31">
        <v>1.2889999999999999</v>
      </c>
      <c r="G80" s="31">
        <v>1.22</v>
      </c>
      <c r="H80" s="31">
        <v>1.25</v>
      </c>
      <c r="I80" s="31">
        <v>1.3</v>
      </c>
      <c r="J80" s="31">
        <v>1.0777000000000001</v>
      </c>
      <c r="K80" s="52">
        <f t="shared" si="0"/>
        <v>264174.73266694904</v>
      </c>
      <c r="L80" s="52">
        <f t="shared" si="16"/>
        <v>792524.19800084713</v>
      </c>
    </row>
    <row r="81" spans="1:12" ht="30" customHeight="1" x14ac:dyDescent="0.2">
      <c r="A81" s="27" t="s">
        <v>2351</v>
      </c>
      <c r="B81" s="27" t="s">
        <v>2337</v>
      </c>
      <c r="C81" s="27"/>
      <c r="D81" s="31">
        <f t="shared" si="17"/>
        <v>5.7490000000000006</v>
      </c>
      <c r="E81" s="52">
        <v>95924</v>
      </c>
      <c r="F81" s="31">
        <v>1.2889999999999999</v>
      </c>
      <c r="G81" s="31">
        <v>1.22</v>
      </c>
      <c r="H81" s="31">
        <v>1.25</v>
      </c>
      <c r="I81" s="31">
        <v>1.3</v>
      </c>
      <c r="J81" s="31">
        <v>1.0777000000000001</v>
      </c>
      <c r="K81" s="52">
        <f t="shared" si="0"/>
        <v>264174.73266694904</v>
      </c>
      <c r="L81" s="52">
        <f t="shared" si="16"/>
        <v>1056698.9306677962</v>
      </c>
    </row>
    <row r="82" spans="1:12" ht="30" customHeight="1" x14ac:dyDescent="0.2">
      <c r="A82" s="27" t="s">
        <v>2352</v>
      </c>
      <c r="B82" s="27" t="s">
        <v>2339</v>
      </c>
      <c r="C82" s="27"/>
      <c r="D82" s="31">
        <f t="shared" si="17"/>
        <v>7.8820000000000006</v>
      </c>
      <c r="E82" s="52">
        <v>95924</v>
      </c>
      <c r="F82" s="31">
        <v>1.2889999999999999</v>
      </c>
      <c r="G82" s="31">
        <v>1.22</v>
      </c>
      <c r="H82" s="31">
        <v>1.25</v>
      </c>
      <c r="I82" s="31">
        <v>1.3</v>
      </c>
      <c r="J82" s="31">
        <v>1.0777000000000001</v>
      </c>
      <c r="K82" s="52">
        <f t="shared" si="0"/>
        <v>264174.73266694904</v>
      </c>
      <c r="L82" s="52">
        <f t="shared" si="16"/>
        <v>1320873.6633347452</v>
      </c>
    </row>
    <row r="83" spans="1:12" ht="30" customHeight="1" x14ac:dyDescent="0.2">
      <c r="A83" s="27" t="s">
        <v>2353</v>
      </c>
      <c r="B83" s="27" t="s">
        <v>2341</v>
      </c>
      <c r="C83" s="27"/>
      <c r="D83" s="31">
        <f t="shared" si="17"/>
        <v>10.015000000000001</v>
      </c>
      <c r="E83" s="52">
        <v>95924</v>
      </c>
      <c r="F83" s="31">
        <v>1.2889999999999999</v>
      </c>
      <c r="G83" s="31">
        <v>1.22</v>
      </c>
      <c r="H83" s="31">
        <v>1.25</v>
      </c>
      <c r="I83" s="31">
        <v>1.3</v>
      </c>
      <c r="J83" s="31">
        <v>1.0777000000000001</v>
      </c>
      <c r="K83" s="52">
        <f t="shared" si="0"/>
        <v>264174.73266694904</v>
      </c>
      <c r="L83" s="52">
        <f t="shared" si="16"/>
        <v>1585048.3960016943</v>
      </c>
    </row>
    <row r="84" spans="1:12" ht="30" customHeight="1" x14ac:dyDescent="0.2">
      <c r="A84" s="27" t="s">
        <v>2354</v>
      </c>
      <c r="B84" s="27" t="s">
        <v>2343</v>
      </c>
      <c r="C84" s="27"/>
      <c r="D84" s="31">
        <f t="shared" si="17"/>
        <v>12.148</v>
      </c>
      <c r="E84" s="52">
        <v>95924</v>
      </c>
      <c r="F84" s="31">
        <v>1.2889999999999999</v>
      </c>
      <c r="G84" s="31">
        <v>1.22</v>
      </c>
      <c r="H84" s="31">
        <v>1.25</v>
      </c>
      <c r="I84" s="31">
        <v>1.3</v>
      </c>
      <c r="J84" s="31">
        <v>1.0777000000000001</v>
      </c>
      <c r="K84" s="52">
        <f t="shared" si="0"/>
        <v>264174.73266694904</v>
      </c>
      <c r="L84" s="52">
        <f t="shared" si="16"/>
        <v>1849223.1286686433</v>
      </c>
    </row>
    <row r="85" spans="1:12" ht="30" customHeight="1" x14ac:dyDescent="0.2">
      <c r="A85" s="27" t="s">
        <v>2355</v>
      </c>
      <c r="B85" s="27" t="s">
        <v>2345</v>
      </c>
      <c r="C85" s="27"/>
      <c r="D85" s="31">
        <f t="shared" si="17"/>
        <v>14.280999999999999</v>
      </c>
      <c r="E85" s="52">
        <v>95924</v>
      </c>
      <c r="F85" s="31">
        <v>1.2889999999999999</v>
      </c>
      <c r="G85" s="31">
        <v>1.22</v>
      </c>
      <c r="H85" s="31">
        <v>1.25</v>
      </c>
      <c r="I85" s="31">
        <v>1.3</v>
      </c>
      <c r="J85" s="31">
        <v>1.0777000000000001</v>
      </c>
      <c r="K85" s="52">
        <f t="shared" si="0"/>
        <v>264174.73266694904</v>
      </c>
      <c r="L85" s="52">
        <f t="shared" si="16"/>
        <v>2113397.8613355923</v>
      </c>
    </row>
    <row r="86" spans="1:12" ht="30" customHeight="1" x14ac:dyDescent="0.2">
      <c r="A86" s="27" t="s">
        <v>2356</v>
      </c>
      <c r="B86" s="27" t="s">
        <v>2347</v>
      </c>
      <c r="C86" s="27"/>
      <c r="D86" s="31">
        <f t="shared" si="17"/>
        <v>16.413999999999998</v>
      </c>
      <c r="E86" s="52">
        <v>95924</v>
      </c>
      <c r="F86" s="31">
        <v>1.2889999999999999</v>
      </c>
      <c r="G86" s="31">
        <v>1.22</v>
      </c>
      <c r="H86" s="31">
        <v>1.25</v>
      </c>
      <c r="I86" s="31">
        <v>1.3</v>
      </c>
      <c r="J86" s="31">
        <v>1.0777000000000001</v>
      </c>
      <c r="K86" s="52">
        <f t="shared" si="0"/>
        <v>264174.73266694904</v>
      </c>
      <c r="L86" s="52">
        <f t="shared" si="16"/>
        <v>2377572.5940025412</v>
      </c>
    </row>
    <row r="87" spans="1:12" ht="30" customHeight="1" x14ac:dyDescent="0.2">
      <c r="A87" s="27" t="s">
        <v>2357</v>
      </c>
      <c r="B87" s="27" t="s">
        <v>2331</v>
      </c>
      <c r="C87" s="27"/>
      <c r="D87" s="31">
        <v>0.3</v>
      </c>
      <c r="E87" s="52">
        <v>95924</v>
      </c>
      <c r="F87" s="31">
        <v>1.2889999999999999</v>
      </c>
      <c r="G87" s="31">
        <v>1.22</v>
      </c>
      <c r="H87" s="31">
        <v>1.25</v>
      </c>
      <c r="I87" s="31">
        <v>1.3</v>
      </c>
      <c r="J87" s="31">
        <v>1.0777000000000001</v>
      </c>
      <c r="K87" s="52">
        <f t="shared" si="0"/>
        <v>264174.73266694904</v>
      </c>
      <c r="L87" s="52">
        <f>K87</f>
        <v>264174.73266694904</v>
      </c>
    </row>
    <row r="88" spans="1:12" ht="30" customHeight="1" x14ac:dyDescent="0.2">
      <c r="A88" s="27" t="s">
        <v>2358</v>
      </c>
      <c r="B88" s="27" t="s">
        <v>2333</v>
      </c>
      <c r="C88" s="27"/>
      <c r="D88" s="31">
        <f>D87+1.183</f>
        <v>1.4830000000000001</v>
      </c>
      <c r="E88" s="52">
        <v>95924</v>
      </c>
      <c r="F88" s="31">
        <v>1.2889999999999999</v>
      </c>
      <c r="G88" s="31">
        <v>1.22</v>
      </c>
      <c r="H88" s="31">
        <v>1.25</v>
      </c>
      <c r="I88" s="31">
        <v>1.3</v>
      </c>
      <c r="J88" s="31">
        <v>1.0777000000000001</v>
      </c>
      <c r="K88" s="52">
        <f t="shared" si="0"/>
        <v>264174.73266694904</v>
      </c>
      <c r="L88" s="52">
        <f t="shared" ref="L88:L95" si="18">K88+L87</f>
        <v>528349.46533389809</v>
      </c>
    </row>
    <row r="89" spans="1:12" ht="30" customHeight="1" x14ac:dyDescent="0.2">
      <c r="A89" s="27" t="s">
        <v>2359</v>
      </c>
      <c r="B89" s="27" t="s">
        <v>2335</v>
      </c>
      <c r="C89" s="27"/>
      <c r="D89" s="31">
        <f t="shared" ref="D89:D95" si="19">D88+1.317</f>
        <v>2.8</v>
      </c>
      <c r="E89" s="52">
        <v>95924</v>
      </c>
      <c r="F89" s="31">
        <v>1.2889999999999999</v>
      </c>
      <c r="G89" s="31">
        <v>1.22</v>
      </c>
      <c r="H89" s="31">
        <v>1.25</v>
      </c>
      <c r="I89" s="31">
        <v>1.3</v>
      </c>
      <c r="J89" s="31">
        <v>1.0777000000000001</v>
      </c>
      <c r="K89" s="52">
        <f t="shared" si="0"/>
        <v>264174.73266694904</v>
      </c>
      <c r="L89" s="52">
        <f t="shared" si="18"/>
        <v>792524.19800084713</v>
      </c>
    </row>
    <row r="90" spans="1:12" ht="30" customHeight="1" x14ac:dyDescent="0.2">
      <c r="A90" s="27" t="s">
        <v>2360</v>
      </c>
      <c r="B90" s="27" t="s">
        <v>2337</v>
      </c>
      <c r="C90" s="27"/>
      <c r="D90" s="31">
        <f t="shared" si="19"/>
        <v>4.117</v>
      </c>
      <c r="E90" s="52">
        <v>95924</v>
      </c>
      <c r="F90" s="31">
        <v>1.2889999999999999</v>
      </c>
      <c r="G90" s="31">
        <v>1.22</v>
      </c>
      <c r="H90" s="31">
        <v>1.25</v>
      </c>
      <c r="I90" s="31">
        <v>1.3</v>
      </c>
      <c r="J90" s="31">
        <v>1.0777000000000001</v>
      </c>
      <c r="K90" s="52">
        <f t="shared" si="0"/>
        <v>264174.73266694904</v>
      </c>
      <c r="L90" s="52">
        <f t="shared" si="18"/>
        <v>1056698.9306677962</v>
      </c>
    </row>
    <row r="91" spans="1:12" ht="30" customHeight="1" x14ac:dyDescent="0.2">
      <c r="A91" s="27" t="s">
        <v>2361</v>
      </c>
      <c r="B91" s="27" t="s">
        <v>2339</v>
      </c>
      <c r="C91" s="27"/>
      <c r="D91" s="31">
        <f t="shared" si="19"/>
        <v>5.4340000000000002</v>
      </c>
      <c r="E91" s="52">
        <v>95924</v>
      </c>
      <c r="F91" s="31">
        <v>1.2889999999999999</v>
      </c>
      <c r="G91" s="31">
        <v>1.22</v>
      </c>
      <c r="H91" s="31">
        <v>1.25</v>
      </c>
      <c r="I91" s="31">
        <v>1.3</v>
      </c>
      <c r="J91" s="31">
        <v>1.0777000000000001</v>
      </c>
      <c r="K91" s="52">
        <f t="shared" si="0"/>
        <v>264174.73266694904</v>
      </c>
      <c r="L91" s="52">
        <f t="shared" si="18"/>
        <v>1320873.6633347452</v>
      </c>
    </row>
    <row r="92" spans="1:12" ht="30" customHeight="1" x14ac:dyDescent="0.2">
      <c r="A92" s="27" t="s">
        <v>2362</v>
      </c>
      <c r="B92" s="27" t="s">
        <v>2341</v>
      </c>
      <c r="C92" s="27"/>
      <c r="D92" s="31">
        <f t="shared" si="19"/>
        <v>6.7510000000000003</v>
      </c>
      <c r="E92" s="52">
        <v>95924</v>
      </c>
      <c r="F92" s="31">
        <v>1.2889999999999999</v>
      </c>
      <c r="G92" s="31">
        <v>1.22</v>
      </c>
      <c r="H92" s="31">
        <v>1.25</v>
      </c>
      <c r="I92" s="31">
        <v>1.3</v>
      </c>
      <c r="J92" s="31">
        <v>1.0777000000000001</v>
      </c>
      <c r="K92" s="52">
        <f t="shared" si="0"/>
        <v>264174.73266694904</v>
      </c>
      <c r="L92" s="52">
        <f t="shared" si="18"/>
        <v>1585048.3960016943</v>
      </c>
    </row>
    <row r="93" spans="1:12" ht="30" customHeight="1" x14ac:dyDescent="0.2">
      <c r="A93" s="27" t="s">
        <v>2363</v>
      </c>
      <c r="B93" s="27" t="s">
        <v>2343</v>
      </c>
      <c r="C93" s="27"/>
      <c r="D93" s="31">
        <f t="shared" si="19"/>
        <v>8.0679999999999996</v>
      </c>
      <c r="E93" s="52">
        <v>95924</v>
      </c>
      <c r="F93" s="31">
        <v>1.2889999999999999</v>
      </c>
      <c r="G93" s="31">
        <v>1.22</v>
      </c>
      <c r="H93" s="31">
        <v>1.25</v>
      </c>
      <c r="I93" s="31">
        <v>1.3</v>
      </c>
      <c r="J93" s="31">
        <v>1.0777000000000001</v>
      </c>
      <c r="K93" s="52">
        <f t="shared" si="0"/>
        <v>264174.73266694904</v>
      </c>
      <c r="L93" s="52">
        <f t="shared" si="18"/>
        <v>1849223.1286686433</v>
      </c>
    </row>
    <row r="94" spans="1:12" ht="30" customHeight="1" x14ac:dyDescent="0.2">
      <c r="A94" s="27" t="s">
        <v>2364</v>
      </c>
      <c r="B94" s="27" t="s">
        <v>2345</v>
      </c>
      <c r="C94" s="27"/>
      <c r="D94" s="31">
        <f t="shared" si="19"/>
        <v>9.3849999999999998</v>
      </c>
      <c r="E94" s="52">
        <v>95924</v>
      </c>
      <c r="F94" s="31">
        <v>1.2889999999999999</v>
      </c>
      <c r="G94" s="31">
        <v>1.22</v>
      </c>
      <c r="H94" s="31">
        <v>1.25</v>
      </c>
      <c r="I94" s="31">
        <v>1.3</v>
      </c>
      <c r="J94" s="31">
        <v>1.0777000000000001</v>
      </c>
      <c r="K94" s="52">
        <f t="shared" si="0"/>
        <v>264174.73266694904</v>
      </c>
      <c r="L94" s="52">
        <f t="shared" si="18"/>
        <v>2113397.8613355923</v>
      </c>
    </row>
    <row r="95" spans="1:12" ht="30" customHeight="1" x14ac:dyDescent="0.2">
      <c r="A95" s="27" t="s">
        <v>2365</v>
      </c>
      <c r="B95" s="27" t="s">
        <v>2347</v>
      </c>
      <c r="C95" s="27"/>
      <c r="D95" s="31">
        <f t="shared" si="19"/>
        <v>10.702</v>
      </c>
      <c r="E95" s="52">
        <v>95924</v>
      </c>
      <c r="F95" s="31">
        <v>1.2889999999999999</v>
      </c>
      <c r="G95" s="31">
        <v>1.22</v>
      </c>
      <c r="H95" s="31">
        <v>1.25</v>
      </c>
      <c r="I95" s="31">
        <v>1.3</v>
      </c>
      <c r="J95" s="31">
        <v>1.0777000000000001</v>
      </c>
      <c r="K95" s="52">
        <f t="shared" si="0"/>
        <v>264174.73266694904</v>
      </c>
      <c r="L95" s="52">
        <f t="shared" si="18"/>
        <v>2377572.5940025412</v>
      </c>
    </row>
    <row r="96" spans="1:12" ht="30" customHeight="1" x14ac:dyDescent="0.2">
      <c r="A96" s="27" t="s">
        <v>2366</v>
      </c>
      <c r="B96" s="27" t="s">
        <v>2331</v>
      </c>
      <c r="C96" s="27"/>
      <c r="D96" s="31">
        <v>0.3</v>
      </c>
      <c r="E96" s="52">
        <v>95924</v>
      </c>
      <c r="F96" s="31">
        <v>1.2889999999999999</v>
      </c>
      <c r="G96" s="31">
        <v>1.22</v>
      </c>
      <c r="H96" s="31">
        <v>1.25</v>
      </c>
      <c r="I96" s="31">
        <v>1.3</v>
      </c>
      <c r="J96" s="31">
        <v>1.0777000000000001</v>
      </c>
      <c r="K96" s="52">
        <f t="shared" si="0"/>
        <v>264174.73266694904</v>
      </c>
      <c r="L96" s="52">
        <f>K96</f>
        <v>264174.73266694904</v>
      </c>
    </row>
    <row r="97" spans="1:12" ht="30" customHeight="1" x14ac:dyDescent="0.2">
      <c r="A97" s="27" t="s">
        <v>2367</v>
      </c>
      <c r="B97" s="27" t="s">
        <v>2333</v>
      </c>
      <c r="C97" s="27"/>
      <c r="D97" s="31">
        <f t="shared" ref="D97:D99" si="20">D96+1.183</f>
        <v>1.4830000000000001</v>
      </c>
      <c r="E97" s="52">
        <v>95924</v>
      </c>
      <c r="F97" s="31">
        <v>1.2889999999999999</v>
      </c>
      <c r="G97" s="31">
        <v>1.22</v>
      </c>
      <c r="H97" s="31">
        <v>1.25</v>
      </c>
      <c r="I97" s="31">
        <v>1.3</v>
      </c>
      <c r="J97" s="31">
        <v>1.0777000000000001</v>
      </c>
      <c r="K97" s="52">
        <f t="shared" si="0"/>
        <v>264174.73266694904</v>
      </c>
      <c r="L97" s="52">
        <f t="shared" ref="L97:L104" si="21">K97+L96</f>
        <v>528349.46533389809</v>
      </c>
    </row>
    <row r="98" spans="1:12" ht="30" customHeight="1" x14ac:dyDescent="0.2">
      <c r="A98" s="27" t="s">
        <v>2368</v>
      </c>
      <c r="B98" s="27" t="s">
        <v>2335</v>
      </c>
      <c r="C98" s="27"/>
      <c r="D98" s="31">
        <f t="shared" si="20"/>
        <v>2.6660000000000004</v>
      </c>
      <c r="E98" s="52">
        <v>95924</v>
      </c>
      <c r="F98" s="31">
        <v>1.2889999999999999</v>
      </c>
      <c r="G98" s="31">
        <v>1.22</v>
      </c>
      <c r="H98" s="31">
        <v>1.25</v>
      </c>
      <c r="I98" s="31">
        <v>1.3</v>
      </c>
      <c r="J98" s="31">
        <v>1.0777000000000001</v>
      </c>
      <c r="K98" s="52">
        <f t="shared" si="0"/>
        <v>264174.73266694904</v>
      </c>
      <c r="L98" s="52">
        <f t="shared" si="21"/>
        <v>792524.19800084713</v>
      </c>
    </row>
    <row r="99" spans="1:12" ht="30" customHeight="1" x14ac:dyDescent="0.2">
      <c r="A99" s="27" t="s">
        <v>2369</v>
      </c>
      <c r="B99" s="27" t="s">
        <v>2337</v>
      </c>
      <c r="C99" s="27"/>
      <c r="D99" s="31">
        <f t="shared" si="20"/>
        <v>3.8490000000000002</v>
      </c>
      <c r="E99" s="52">
        <v>95924</v>
      </c>
      <c r="F99" s="31">
        <v>1.2889999999999999</v>
      </c>
      <c r="G99" s="31">
        <v>1.22</v>
      </c>
      <c r="H99" s="31">
        <v>1.25</v>
      </c>
      <c r="I99" s="31">
        <v>1.3</v>
      </c>
      <c r="J99" s="31">
        <v>1.0777000000000001</v>
      </c>
      <c r="K99" s="52">
        <f t="shared" si="0"/>
        <v>264174.73266694904</v>
      </c>
      <c r="L99" s="52">
        <f t="shared" si="21"/>
        <v>1056698.9306677962</v>
      </c>
    </row>
    <row r="100" spans="1:12" ht="30" customHeight="1" x14ac:dyDescent="0.2">
      <c r="A100" s="27" t="s">
        <v>2370</v>
      </c>
      <c r="B100" s="27" t="s">
        <v>2339</v>
      </c>
      <c r="C100" s="27"/>
      <c r="D100" s="31">
        <f>D99+3.517</f>
        <v>7.3659999999999997</v>
      </c>
      <c r="E100" s="52">
        <v>95924</v>
      </c>
      <c r="F100" s="31">
        <v>1.2889999999999999</v>
      </c>
      <c r="G100" s="31">
        <v>1.22</v>
      </c>
      <c r="H100" s="31">
        <v>1.25</v>
      </c>
      <c r="I100" s="31">
        <v>1.3</v>
      </c>
      <c r="J100" s="31">
        <v>1.0777000000000001</v>
      </c>
      <c r="K100" s="52">
        <f t="shared" si="0"/>
        <v>264174.73266694904</v>
      </c>
      <c r="L100" s="52">
        <f t="shared" si="21"/>
        <v>1320873.6633347452</v>
      </c>
    </row>
    <row r="101" spans="1:12" ht="30" customHeight="1" x14ac:dyDescent="0.2">
      <c r="A101" s="27" t="s">
        <v>2371</v>
      </c>
      <c r="B101" s="27" t="s">
        <v>2341</v>
      </c>
      <c r="C101" s="27"/>
      <c r="D101" s="31">
        <f t="shared" ref="D101:D103" si="22">D100+1.183</f>
        <v>8.5489999999999995</v>
      </c>
      <c r="E101" s="52">
        <v>95924</v>
      </c>
      <c r="F101" s="31">
        <v>1.2889999999999999</v>
      </c>
      <c r="G101" s="31">
        <v>1.22</v>
      </c>
      <c r="H101" s="31">
        <v>1.25</v>
      </c>
      <c r="I101" s="31">
        <v>1.3</v>
      </c>
      <c r="J101" s="31">
        <v>1.0777000000000001</v>
      </c>
      <c r="K101" s="52">
        <f t="shared" si="0"/>
        <v>264174.73266694904</v>
      </c>
      <c r="L101" s="52">
        <f t="shared" si="21"/>
        <v>1585048.3960016943</v>
      </c>
    </row>
    <row r="102" spans="1:12" ht="30" customHeight="1" x14ac:dyDescent="0.2">
      <c r="A102" s="27" t="s">
        <v>2372</v>
      </c>
      <c r="B102" s="27" t="s">
        <v>2343</v>
      </c>
      <c r="C102" s="27"/>
      <c r="D102" s="31">
        <f t="shared" si="22"/>
        <v>9.7319999999999993</v>
      </c>
      <c r="E102" s="52">
        <v>95924</v>
      </c>
      <c r="F102" s="31">
        <v>1.2889999999999999</v>
      </c>
      <c r="G102" s="31">
        <v>1.22</v>
      </c>
      <c r="H102" s="31">
        <v>1.25</v>
      </c>
      <c r="I102" s="31">
        <v>1.3</v>
      </c>
      <c r="J102" s="31">
        <v>1.0777000000000001</v>
      </c>
      <c r="K102" s="52">
        <f t="shared" si="0"/>
        <v>264174.73266694904</v>
      </c>
      <c r="L102" s="52">
        <f t="shared" si="21"/>
        <v>1849223.1286686433</v>
      </c>
    </row>
    <row r="103" spans="1:12" ht="30" customHeight="1" x14ac:dyDescent="0.2">
      <c r="A103" s="27" t="s">
        <v>2373</v>
      </c>
      <c r="B103" s="27" t="s">
        <v>2345</v>
      </c>
      <c r="C103" s="27"/>
      <c r="D103" s="31">
        <f t="shared" si="22"/>
        <v>10.914999999999999</v>
      </c>
      <c r="E103" s="52">
        <v>95924</v>
      </c>
      <c r="F103" s="31">
        <v>1.2889999999999999</v>
      </c>
      <c r="G103" s="31">
        <v>1.22</v>
      </c>
      <c r="H103" s="31">
        <v>1.25</v>
      </c>
      <c r="I103" s="31">
        <v>1.3</v>
      </c>
      <c r="J103" s="31">
        <v>1.0777000000000001</v>
      </c>
      <c r="K103" s="52">
        <f t="shared" si="0"/>
        <v>264174.73266694904</v>
      </c>
      <c r="L103" s="52">
        <f t="shared" si="21"/>
        <v>2113397.8613355923</v>
      </c>
    </row>
    <row r="104" spans="1:12" ht="30" customHeight="1" x14ac:dyDescent="0.2">
      <c r="A104" s="27" t="s">
        <v>2374</v>
      </c>
      <c r="B104" s="27" t="s">
        <v>2347</v>
      </c>
      <c r="C104" s="27"/>
      <c r="D104" s="31">
        <f>D103+2.133</f>
        <v>13.047999999999998</v>
      </c>
      <c r="E104" s="52">
        <v>95924</v>
      </c>
      <c r="F104" s="31">
        <v>1.2889999999999999</v>
      </c>
      <c r="G104" s="31">
        <v>1.22</v>
      </c>
      <c r="H104" s="31">
        <v>1.25</v>
      </c>
      <c r="I104" s="31">
        <v>1.3</v>
      </c>
      <c r="J104" s="31">
        <v>1.0777000000000001</v>
      </c>
      <c r="K104" s="52">
        <f t="shared" si="0"/>
        <v>264174.73266694904</v>
      </c>
      <c r="L104" s="52">
        <f t="shared" si="21"/>
        <v>2377572.5940025412</v>
      </c>
    </row>
    <row r="105" spans="1:12" ht="30" customHeight="1" x14ac:dyDescent="0.2">
      <c r="A105" s="27" t="s">
        <v>2375</v>
      </c>
      <c r="B105" s="27" t="s">
        <v>2331</v>
      </c>
      <c r="C105" s="27"/>
      <c r="D105" s="31">
        <v>0.3</v>
      </c>
      <c r="E105" s="52">
        <v>95924</v>
      </c>
      <c r="F105" s="31"/>
      <c r="G105" s="31">
        <v>1.22</v>
      </c>
      <c r="H105" s="31">
        <v>1.25</v>
      </c>
      <c r="I105" s="31">
        <v>1.3</v>
      </c>
      <c r="J105" s="31">
        <v>1.0777000000000001</v>
      </c>
      <c r="K105" s="52">
        <f t="shared" si="0"/>
        <v>204945.48694100004</v>
      </c>
      <c r="L105" s="52">
        <f>K105</f>
        <v>204945.48694100004</v>
      </c>
    </row>
    <row r="106" spans="1:12" ht="30" customHeight="1" x14ac:dyDescent="0.2">
      <c r="A106" s="27" t="s">
        <v>2376</v>
      </c>
      <c r="B106" s="27" t="s">
        <v>2333</v>
      </c>
      <c r="C106" s="27"/>
      <c r="D106" s="31">
        <f>D105+1.183</f>
        <v>1.4830000000000001</v>
      </c>
      <c r="E106" s="52">
        <v>95924</v>
      </c>
      <c r="F106" s="31"/>
      <c r="G106" s="31">
        <v>1.22</v>
      </c>
      <c r="H106" s="31">
        <v>1.25</v>
      </c>
      <c r="I106" s="31">
        <v>1.3</v>
      </c>
      <c r="J106" s="31">
        <v>1.0777000000000001</v>
      </c>
      <c r="K106" s="52">
        <f t="shared" si="0"/>
        <v>204945.48694100004</v>
      </c>
      <c r="L106" s="52">
        <f t="shared" ref="L106:L114" si="23">K106+L105</f>
        <v>409890.97388200008</v>
      </c>
    </row>
    <row r="107" spans="1:12" ht="30" customHeight="1" x14ac:dyDescent="0.2">
      <c r="A107" s="27" t="s">
        <v>2377</v>
      </c>
      <c r="B107" s="27" t="s">
        <v>2335</v>
      </c>
      <c r="C107" s="27"/>
      <c r="D107" s="31">
        <f>D106+2.117</f>
        <v>3.6</v>
      </c>
      <c r="E107" s="52">
        <v>95924</v>
      </c>
      <c r="F107" s="31"/>
      <c r="G107" s="31">
        <v>1.22</v>
      </c>
      <c r="H107" s="31">
        <v>1.25</v>
      </c>
      <c r="I107" s="31">
        <v>1.3</v>
      </c>
      <c r="J107" s="31">
        <v>1.0777000000000001</v>
      </c>
      <c r="K107" s="52">
        <f t="shared" si="0"/>
        <v>204945.48694100004</v>
      </c>
      <c r="L107" s="52">
        <f t="shared" si="23"/>
        <v>614836.46082300018</v>
      </c>
    </row>
    <row r="108" spans="1:12" ht="30" customHeight="1" x14ac:dyDescent="0.2">
      <c r="A108" s="27" t="s">
        <v>2378</v>
      </c>
      <c r="B108" s="27" t="s">
        <v>2337</v>
      </c>
      <c r="C108" s="27"/>
      <c r="D108" s="31">
        <f>D107+1.183</f>
        <v>4.7830000000000004</v>
      </c>
      <c r="E108" s="52">
        <v>95924</v>
      </c>
      <c r="F108" s="31"/>
      <c r="G108" s="31">
        <v>1.22</v>
      </c>
      <c r="H108" s="31">
        <v>1.25</v>
      </c>
      <c r="I108" s="31">
        <v>1.3</v>
      </c>
      <c r="J108" s="31">
        <v>1.0777000000000001</v>
      </c>
      <c r="K108" s="52">
        <f t="shared" si="0"/>
        <v>204945.48694100004</v>
      </c>
      <c r="L108" s="52">
        <f t="shared" si="23"/>
        <v>819781.94776400016</v>
      </c>
    </row>
    <row r="109" spans="1:12" ht="30" customHeight="1" x14ac:dyDescent="0.2">
      <c r="A109" s="27" t="s">
        <v>2379</v>
      </c>
      <c r="B109" s="27" t="s">
        <v>2339</v>
      </c>
      <c r="C109" s="27"/>
      <c r="D109" s="31">
        <f>D108+2.117</f>
        <v>6.9</v>
      </c>
      <c r="E109" s="52">
        <v>95924</v>
      </c>
      <c r="F109" s="31"/>
      <c r="G109" s="31">
        <v>1.22</v>
      </c>
      <c r="H109" s="31">
        <v>1.25</v>
      </c>
      <c r="I109" s="31">
        <v>1.3</v>
      </c>
      <c r="J109" s="31">
        <v>1.0777000000000001</v>
      </c>
      <c r="K109" s="52">
        <f t="shared" si="0"/>
        <v>204945.48694100004</v>
      </c>
      <c r="L109" s="52">
        <f t="shared" si="23"/>
        <v>1024727.4347050001</v>
      </c>
    </row>
    <row r="110" spans="1:12" ht="30" customHeight="1" x14ac:dyDescent="0.2">
      <c r="A110" s="27" t="s">
        <v>2380</v>
      </c>
      <c r="B110" s="27" t="s">
        <v>2341</v>
      </c>
      <c r="C110" s="27"/>
      <c r="D110" s="31">
        <f>D109+1.183</f>
        <v>8.0830000000000002</v>
      </c>
      <c r="E110" s="52">
        <v>95924</v>
      </c>
      <c r="F110" s="31"/>
      <c r="G110" s="31">
        <v>1.22</v>
      </c>
      <c r="H110" s="31">
        <v>1.25</v>
      </c>
      <c r="I110" s="31">
        <v>1.3</v>
      </c>
      <c r="J110" s="31">
        <v>1.0777000000000001</v>
      </c>
      <c r="K110" s="52">
        <f t="shared" si="0"/>
        <v>204945.48694100004</v>
      </c>
      <c r="L110" s="52">
        <f t="shared" si="23"/>
        <v>1229672.9216460001</v>
      </c>
    </row>
    <row r="111" spans="1:12" ht="30" customHeight="1" x14ac:dyDescent="0.2">
      <c r="A111" s="27" t="s">
        <v>2381</v>
      </c>
      <c r="B111" s="27" t="s">
        <v>2343</v>
      </c>
      <c r="C111" s="27"/>
      <c r="D111" s="31">
        <f>D110+2.117</f>
        <v>10.199999999999999</v>
      </c>
      <c r="E111" s="52">
        <v>95924</v>
      </c>
      <c r="F111" s="31"/>
      <c r="G111" s="31">
        <v>1.22</v>
      </c>
      <c r="H111" s="31">
        <v>1.25</v>
      </c>
      <c r="I111" s="31">
        <v>1.3</v>
      </c>
      <c r="J111" s="31">
        <v>1.0777000000000001</v>
      </c>
      <c r="K111" s="52">
        <f t="shared" si="0"/>
        <v>204945.48694100004</v>
      </c>
      <c r="L111" s="52">
        <f t="shared" si="23"/>
        <v>1434618.4085870001</v>
      </c>
    </row>
    <row r="112" spans="1:12" ht="30" customHeight="1" x14ac:dyDescent="0.2">
      <c r="A112" s="27" t="s">
        <v>2382</v>
      </c>
      <c r="B112" s="27" t="s">
        <v>2345</v>
      </c>
      <c r="C112" s="27"/>
      <c r="D112" s="31">
        <f>D111+1.183</f>
        <v>11.382999999999999</v>
      </c>
      <c r="E112" s="52">
        <v>95924</v>
      </c>
      <c r="F112" s="31"/>
      <c r="G112" s="31">
        <v>1.22</v>
      </c>
      <c r="H112" s="31">
        <v>1.25</v>
      </c>
      <c r="I112" s="31">
        <v>1.3</v>
      </c>
      <c r="J112" s="31">
        <v>1.0777000000000001</v>
      </c>
      <c r="K112" s="52">
        <f t="shared" si="0"/>
        <v>204945.48694100004</v>
      </c>
      <c r="L112" s="52">
        <f t="shared" si="23"/>
        <v>1639563.8955280001</v>
      </c>
    </row>
    <row r="113" spans="1:12" ht="30" customHeight="1" x14ac:dyDescent="0.2">
      <c r="A113" s="27" t="s">
        <v>2383</v>
      </c>
      <c r="B113" s="27" t="s">
        <v>2347</v>
      </c>
      <c r="C113" s="27"/>
      <c r="D113" s="31">
        <f>D112+2.117</f>
        <v>13.5</v>
      </c>
      <c r="E113" s="52">
        <v>95924</v>
      </c>
      <c r="F113" s="31"/>
      <c r="G113" s="31">
        <v>1.22</v>
      </c>
      <c r="H113" s="31">
        <v>1.25</v>
      </c>
      <c r="I113" s="31">
        <v>1.3</v>
      </c>
      <c r="J113" s="31">
        <v>1.0777000000000001</v>
      </c>
      <c r="K113" s="52">
        <f t="shared" si="0"/>
        <v>204945.48694100004</v>
      </c>
      <c r="L113" s="52">
        <f t="shared" si="23"/>
        <v>1844509.3824690001</v>
      </c>
    </row>
    <row r="114" spans="1:12" ht="30" customHeight="1" x14ac:dyDescent="0.2">
      <c r="A114" s="27" t="s">
        <v>2384</v>
      </c>
      <c r="B114" s="27" t="s">
        <v>2385</v>
      </c>
      <c r="C114" s="27"/>
      <c r="D114" s="31">
        <f>D113+1.183</f>
        <v>14.683</v>
      </c>
      <c r="E114" s="52">
        <v>95924</v>
      </c>
      <c r="F114" s="31"/>
      <c r="G114" s="31">
        <v>1.22</v>
      </c>
      <c r="H114" s="31">
        <v>1.25</v>
      </c>
      <c r="I114" s="31">
        <v>1.3</v>
      </c>
      <c r="J114" s="31">
        <v>1.0777000000000001</v>
      </c>
      <c r="K114" s="52">
        <f t="shared" si="0"/>
        <v>204945.48694100004</v>
      </c>
      <c r="L114" s="52">
        <f t="shared" si="23"/>
        <v>2049454.86941</v>
      </c>
    </row>
    <row r="115" spans="1:12" ht="30" customHeight="1" x14ac:dyDescent="0.2">
      <c r="A115" s="27" t="s">
        <v>2386</v>
      </c>
      <c r="B115" s="27" t="s">
        <v>2331</v>
      </c>
      <c r="C115" s="27"/>
      <c r="D115" s="31">
        <v>0.3</v>
      </c>
      <c r="E115" s="52">
        <v>95924</v>
      </c>
      <c r="F115" s="31"/>
      <c r="G115" s="31">
        <v>1.22</v>
      </c>
      <c r="H115" s="31">
        <v>1.25</v>
      </c>
      <c r="I115" s="31">
        <v>1.3</v>
      </c>
      <c r="J115" s="31">
        <v>1.0777000000000001</v>
      </c>
      <c r="K115" s="52">
        <f t="shared" si="0"/>
        <v>204945.48694100004</v>
      </c>
      <c r="L115" s="52">
        <f>K115</f>
        <v>204945.48694100004</v>
      </c>
    </row>
    <row r="116" spans="1:12" ht="30" customHeight="1" x14ac:dyDescent="0.2">
      <c r="A116" s="27" t="s">
        <v>2387</v>
      </c>
      <c r="B116" s="27" t="s">
        <v>2333</v>
      </c>
      <c r="C116" s="27"/>
      <c r="D116" s="31">
        <f>D115+1.183</f>
        <v>1.4830000000000001</v>
      </c>
      <c r="E116" s="52">
        <v>95924</v>
      </c>
      <c r="F116" s="31"/>
      <c r="G116" s="31">
        <v>1.22</v>
      </c>
      <c r="H116" s="31">
        <v>1.25</v>
      </c>
      <c r="I116" s="31">
        <v>1.3</v>
      </c>
      <c r="J116" s="31">
        <v>1.0777000000000001</v>
      </c>
      <c r="K116" s="52">
        <f t="shared" si="0"/>
        <v>204945.48694100004</v>
      </c>
      <c r="L116" s="52">
        <f t="shared" ref="L116:L124" si="24">K116+L115</f>
        <v>409890.97388200008</v>
      </c>
    </row>
    <row r="117" spans="1:12" ht="30" customHeight="1" x14ac:dyDescent="0.2">
      <c r="A117" s="27" t="s">
        <v>2388</v>
      </c>
      <c r="B117" s="27" t="s">
        <v>2335</v>
      </c>
      <c r="C117" s="27"/>
      <c r="D117" s="31">
        <f>D116+1.317</f>
        <v>2.8</v>
      </c>
      <c r="E117" s="52">
        <v>95924</v>
      </c>
      <c r="F117" s="31"/>
      <c r="G117" s="31">
        <v>1.22</v>
      </c>
      <c r="H117" s="31">
        <v>1.25</v>
      </c>
      <c r="I117" s="31">
        <v>1.3</v>
      </c>
      <c r="J117" s="31">
        <v>1.0777000000000001</v>
      </c>
      <c r="K117" s="52">
        <f t="shared" si="0"/>
        <v>204945.48694100004</v>
      </c>
      <c r="L117" s="52">
        <f t="shared" si="24"/>
        <v>614836.46082300018</v>
      </c>
    </row>
    <row r="118" spans="1:12" ht="30" customHeight="1" x14ac:dyDescent="0.2">
      <c r="A118" s="27" t="s">
        <v>2389</v>
      </c>
      <c r="B118" s="27" t="s">
        <v>2337</v>
      </c>
      <c r="C118" s="27"/>
      <c r="D118" s="31">
        <f>D117+1.183</f>
        <v>3.9829999999999997</v>
      </c>
      <c r="E118" s="52">
        <v>95924</v>
      </c>
      <c r="F118" s="31"/>
      <c r="G118" s="31">
        <v>1.22</v>
      </c>
      <c r="H118" s="31">
        <v>1.25</v>
      </c>
      <c r="I118" s="31">
        <v>1.3</v>
      </c>
      <c r="J118" s="31">
        <v>1.0777000000000001</v>
      </c>
      <c r="K118" s="52">
        <f t="shared" si="0"/>
        <v>204945.48694100004</v>
      </c>
      <c r="L118" s="52">
        <f t="shared" si="24"/>
        <v>819781.94776400016</v>
      </c>
    </row>
    <row r="119" spans="1:12" ht="30" customHeight="1" x14ac:dyDescent="0.2">
      <c r="A119" s="27" t="s">
        <v>2390</v>
      </c>
      <c r="B119" s="27" t="s">
        <v>2339</v>
      </c>
      <c r="C119" s="27"/>
      <c r="D119" s="31">
        <f>D118+1.317</f>
        <v>5.3</v>
      </c>
      <c r="E119" s="52">
        <v>95924</v>
      </c>
      <c r="F119" s="31"/>
      <c r="G119" s="31">
        <v>1.22</v>
      </c>
      <c r="H119" s="31">
        <v>1.25</v>
      </c>
      <c r="I119" s="31">
        <v>1.3</v>
      </c>
      <c r="J119" s="31">
        <v>1.0777000000000001</v>
      </c>
      <c r="K119" s="52">
        <f t="shared" si="0"/>
        <v>204945.48694100004</v>
      </c>
      <c r="L119" s="52">
        <f t="shared" si="24"/>
        <v>1024727.4347050001</v>
      </c>
    </row>
    <row r="120" spans="1:12" ht="30" customHeight="1" x14ac:dyDescent="0.2">
      <c r="A120" s="27" t="s">
        <v>2391</v>
      </c>
      <c r="B120" s="27" t="s">
        <v>2341</v>
      </c>
      <c r="C120" s="27"/>
      <c r="D120" s="31">
        <f>D119+1.183</f>
        <v>6.4829999999999997</v>
      </c>
      <c r="E120" s="52">
        <v>95924</v>
      </c>
      <c r="F120" s="31"/>
      <c r="G120" s="31">
        <v>1.22</v>
      </c>
      <c r="H120" s="31">
        <v>1.25</v>
      </c>
      <c r="I120" s="31">
        <v>1.3</v>
      </c>
      <c r="J120" s="31">
        <v>1.0777000000000001</v>
      </c>
      <c r="K120" s="52">
        <f t="shared" si="0"/>
        <v>204945.48694100004</v>
      </c>
      <c r="L120" s="52">
        <f t="shared" si="24"/>
        <v>1229672.9216460001</v>
      </c>
    </row>
    <row r="121" spans="1:12" ht="30" customHeight="1" x14ac:dyDescent="0.2">
      <c r="A121" s="27" t="s">
        <v>2392</v>
      </c>
      <c r="B121" s="27" t="s">
        <v>2343</v>
      </c>
      <c r="C121" s="27"/>
      <c r="D121" s="31">
        <f>D120+1.317</f>
        <v>7.8</v>
      </c>
      <c r="E121" s="52">
        <v>95924</v>
      </c>
      <c r="F121" s="31"/>
      <c r="G121" s="31">
        <v>1.22</v>
      </c>
      <c r="H121" s="31">
        <v>1.25</v>
      </c>
      <c r="I121" s="31">
        <v>1.3</v>
      </c>
      <c r="J121" s="31">
        <v>1.0777000000000001</v>
      </c>
      <c r="K121" s="52">
        <f t="shared" si="0"/>
        <v>204945.48694100004</v>
      </c>
      <c r="L121" s="52">
        <f t="shared" si="24"/>
        <v>1434618.4085870001</v>
      </c>
    </row>
    <row r="122" spans="1:12" ht="30" customHeight="1" x14ac:dyDescent="0.2">
      <c r="A122" s="27" t="s">
        <v>2393</v>
      </c>
      <c r="B122" s="27" t="s">
        <v>2345</v>
      </c>
      <c r="C122" s="27"/>
      <c r="D122" s="31">
        <f>D121+1.183</f>
        <v>8.9830000000000005</v>
      </c>
      <c r="E122" s="52">
        <v>95924</v>
      </c>
      <c r="F122" s="31"/>
      <c r="G122" s="31">
        <v>1.22</v>
      </c>
      <c r="H122" s="31">
        <v>1.25</v>
      </c>
      <c r="I122" s="31">
        <v>1.3</v>
      </c>
      <c r="J122" s="31">
        <v>1.0777000000000001</v>
      </c>
      <c r="K122" s="52">
        <f t="shared" si="0"/>
        <v>204945.48694100004</v>
      </c>
      <c r="L122" s="52">
        <f t="shared" si="24"/>
        <v>1639563.8955280001</v>
      </c>
    </row>
    <row r="123" spans="1:12" ht="30" customHeight="1" x14ac:dyDescent="0.2">
      <c r="A123" s="27" t="s">
        <v>2394</v>
      </c>
      <c r="B123" s="27" t="s">
        <v>2347</v>
      </c>
      <c r="C123" s="27"/>
      <c r="D123" s="31">
        <f>D122+1.317</f>
        <v>10.3</v>
      </c>
      <c r="E123" s="52">
        <v>95924</v>
      </c>
      <c r="F123" s="31"/>
      <c r="G123" s="31">
        <v>1.22</v>
      </c>
      <c r="H123" s="31">
        <v>1.25</v>
      </c>
      <c r="I123" s="31">
        <v>1.3</v>
      </c>
      <c r="J123" s="31">
        <v>1.0777000000000001</v>
      </c>
      <c r="K123" s="52">
        <f t="shared" si="0"/>
        <v>204945.48694100004</v>
      </c>
      <c r="L123" s="52">
        <f t="shared" si="24"/>
        <v>1844509.3824690001</v>
      </c>
    </row>
    <row r="124" spans="1:12" ht="30" customHeight="1" x14ac:dyDescent="0.2">
      <c r="A124" s="27" t="s">
        <v>2395</v>
      </c>
      <c r="B124" s="27" t="s">
        <v>2385</v>
      </c>
      <c r="C124" s="27"/>
      <c r="D124" s="31">
        <f>D123+1.183</f>
        <v>11.483000000000001</v>
      </c>
      <c r="E124" s="52">
        <v>95924</v>
      </c>
      <c r="F124" s="31"/>
      <c r="G124" s="31">
        <v>1.22</v>
      </c>
      <c r="H124" s="31">
        <v>1.25</v>
      </c>
      <c r="I124" s="31">
        <v>1.3</v>
      </c>
      <c r="J124" s="31">
        <v>1.0777000000000001</v>
      </c>
      <c r="K124" s="52">
        <f t="shared" si="0"/>
        <v>204945.48694100004</v>
      </c>
      <c r="L124" s="52">
        <f t="shared" si="24"/>
        <v>2049454.86941</v>
      </c>
    </row>
    <row r="125" spans="1:12" ht="30" customHeight="1" x14ac:dyDescent="0.2">
      <c r="A125" s="27" t="s">
        <v>2396</v>
      </c>
      <c r="B125" s="27" t="s">
        <v>2235</v>
      </c>
      <c r="C125" s="27"/>
      <c r="D125" s="31">
        <v>1.05</v>
      </c>
      <c r="E125" s="52">
        <v>0</v>
      </c>
      <c r="F125" s="31"/>
      <c r="G125" s="31"/>
      <c r="H125" s="31"/>
      <c r="I125" s="31"/>
      <c r="J125" s="31"/>
      <c r="K125" s="52">
        <f t="shared" si="0"/>
        <v>0</v>
      </c>
      <c r="L125" s="52">
        <f>K125</f>
        <v>0</v>
      </c>
    </row>
    <row r="126" spans="1:12" ht="30" customHeight="1" x14ac:dyDescent="0.2">
      <c r="A126" s="27" t="s">
        <v>2397</v>
      </c>
      <c r="B126" s="27" t="s">
        <v>2398</v>
      </c>
      <c r="C126" s="27"/>
      <c r="D126" s="31">
        <v>17.666</v>
      </c>
      <c r="E126" s="52">
        <f>6333290*(11.360947/100)</f>
        <v>719521.72025629994</v>
      </c>
      <c r="F126" s="31"/>
      <c r="G126" s="31">
        <v>1.22</v>
      </c>
      <c r="H126" s="31">
        <v>1.25</v>
      </c>
      <c r="I126" s="31">
        <v>1.3</v>
      </c>
      <c r="J126" s="31"/>
      <c r="K126" s="52">
        <f t="shared" si="0"/>
        <v>1426451.8104081147</v>
      </c>
      <c r="L126" s="52">
        <f>K126+L125</f>
        <v>1426451.8104081147</v>
      </c>
    </row>
    <row r="127" spans="1:12" ht="30" customHeight="1" x14ac:dyDescent="0.2">
      <c r="A127" s="27" t="s">
        <v>2399</v>
      </c>
      <c r="B127" s="27" t="s">
        <v>2400</v>
      </c>
      <c r="C127" s="27"/>
      <c r="D127" s="31">
        <v>0.88300000000000001</v>
      </c>
      <c r="E127" s="52">
        <v>47067</v>
      </c>
      <c r="F127" s="31">
        <v>1.47</v>
      </c>
      <c r="G127" s="31">
        <v>1.22</v>
      </c>
      <c r="H127" s="31">
        <v>1.25</v>
      </c>
      <c r="I127" s="31">
        <v>1.3</v>
      </c>
      <c r="J127" s="31">
        <v>1.0780000000000001</v>
      </c>
      <c r="K127" s="52">
        <f t="shared" si="0"/>
        <v>147865.14357615</v>
      </c>
      <c r="L127" s="52">
        <f>K127</f>
        <v>147865.14357615</v>
      </c>
    </row>
    <row r="128" spans="1:12" ht="30" customHeight="1" x14ac:dyDescent="0.2">
      <c r="A128" s="27" t="s">
        <v>2401</v>
      </c>
      <c r="B128" s="27" t="s">
        <v>2244</v>
      </c>
      <c r="C128" s="27"/>
      <c r="D128" s="31">
        <f t="shared" ref="D128:D139" si="25">D127+1.383</f>
        <v>2.266</v>
      </c>
      <c r="E128" s="52">
        <v>47067</v>
      </c>
      <c r="F128" s="31">
        <v>1.47</v>
      </c>
      <c r="G128" s="31">
        <v>1.22</v>
      </c>
      <c r="H128" s="31">
        <v>1.25</v>
      </c>
      <c r="I128" s="31">
        <v>1.3</v>
      </c>
      <c r="J128" s="31">
        <v>1.0780000000000001</v>
      </c>
      <c r="K128" s="52">
        <f t="shared" si="0"/>
        <v>147865.14357615</v>
      </c>
      <c r="L128" s="52">
        <f t="shared" ref="L128:L149" si="26">K128+L127</f>
        <v>295730.28715230001</v>
      </c>
    </row>
    <row r="129" spans="1:12" ht="30" customHeight="1" x14ac:dyDescent="0.2">
      <c r="A129" s="27" t="s">
        <v>2402</v>
      </c>
      <c r="B129" s="27" t="s">
        <v>2246</v>
      </c>
      <c r="C129" s="27"/>
      <c r="D129" s="31">
        <f t="shared" si="25"/>
        <v>3.649</v>
      </c>
      <c r="E129" s="52">
        <v>47067</v>
      </c>
      <c r="F129" s="31">
        <v>1.47</v>
      </c>
      <c r="G129" s="31">
        <v>1.22</v>
      </c>
      <c r="H129" s="31">
        <v>1.25</v>
      </c>
      <c r="I129" s="31">
        <v>1.3</v>
      </c>
      <c r="J129" s="31">
        <v>1.0780000000000001</v>
      </c>
      <c r="K129" s="52">
        <f t="shared" si="0"/>
        <v>147865.14357615</v>
      </c>
      <c r="L129" s="52">
        <f t="shared" si="26"/>
        <v>443595.43072845001</v>
      </c>
    </row>
    <row r="130" spans="1:12" ht="30" customHeight="1" x14ac:dyDescent="0.2">
      <c r="A130" s="27" t="s">
        <v>2403</v>
      </c>
      <c r="B130" s="27" t="s">
        <v>2248</v>
      </c>
      <c r="C130" s="27"/>
      <c r="D130" s="31">
        <f t="shared" si="25"/>
        <v>5.032</v>
      </c>
      <c r="E130" s="52">
        <v>47067</v>
      </c>
      <c r="F130" s="31">
        <v>1.47</v>
      </c>
      <c r="G130" s="31">
        <v>1.22</v>
      </c>
      <c r="H130" s="31">
        <v>1.25</v>
      </c>
      <c r="I130" s="31">
        <v>1.3</v>
      </c>
      <c r="J130" s="31">
        <v>1.0780000000000001</v>
      </c>
      <c r="K130" s="52">
        <f t="shared" si="0"/>
        <v>147865.14357615</v>
      </c>
      <c r="L130" s="52">
        <f t="shared" si="26"/>
        <v>591460.57430460001</v>
      </c>
    </row>
    <row r="131" spans="1:12" ht="30" customHeight="1" x14ac:dyDescent="0.2">
      <c r="A131" s="27" t="s">
        <v>2404</v>
      </c>
      <c r="B131" s="27" t="s">
        <v>2250</v>
      </c>
      <c r="C131" s="27"/>
      <c r="D131" s="31">
        <f t="shared" si="25"/>
        <v>6.415</v>
      </c>
      <c r="E131" s="52">
        <v>47067</v>
      </c>
      <c r="F131" s="31">
        <v>1.47</v>
      </c>
      <c r="G131" s="31">
        <v>1.22</v>
      </c>
      <c r="H131" s="31">
        <v>1.25</v>
      </c>
      <c r="I131" s="31">
        <v>1.3</v>
      </c>
      <c r="J131" s="31">
        <v>1.0780000000000001</v>
      </c>
      <c r="K131" s="52">
        <f t="shared" si="0"/>
        <v>147865.14357615</v>
      </c>
      <c r="L131" s="52">
        <f t="shared" si="26"/>
        <v>739325.71788075007</v>
      </c>
    </row>
    <row r="132" spans="1:12" ht="30" customHeight="1" x14ac:dyDescent="0.2">
      <c r="A132" s="27" t="s">
        <v>2405</v>
      </c>
      <c r="B132" s="27" t="s">
        <v>2291</v>
      </c>
      <c r="C132" s="27"/>
      <c r="D132" s="31">
        <f t="shared" si="25"/>
        <v>7.798</v>
      </c>
      <c r="E132" s="52">
        <v>47067</v>
      </c>
      <c r="F132" s="31">
        <v>1.47</v>
      </c>
      <c r="G132" s="31">
        <v>1.22</v>
      </c>
      <c r="H132" s="31">
        <v>1.25</v>
      </c>
      <c r="I132" s="31">
        <v>1.3</v>
      </c>
      <c r="J132" s="31">
        <v>1.0780000000000001</v>
      </c>
      <c r="K132" s="52">
        <f t="shared" si="0"/>
        <v>147865.14357615</v>
      </c>
      <c r="L132" s="52">
        <f t="shared" si="26"/>
        <v>887190.86145690014</v>
      </c>
    </row>
    <row r="133" spans="1:12" ht="30" customHeight="1" x14ac:dyDescent="0.2">
      <c r="A133" s="27" t="s">
        <v>2406</v>
      </c>
      <c r="B133" s="27" t="s">
        <v>2254</v>
      </c>
      <c r="C133" s="27"/>
      <c r="D133" s="31">
        <f t="shared" si="25"/>
        <v>9.1810000000000009</v>
      </c>
      <c r="E133" s="52">
        <v>47067</v>
      </c>
      <c r="F133" s="31">
        <v>1.47</v>
      </c>
      <c r="G133" s="31">
        <v>1.22</v>
      </c>
      <c r="H133" s="31">
        <v>1.25</v>
      </c>
      <c r="I133" s="31">
        <v>1.3</v>
      </c>
      <c r="J133" s="31">
        <v>1.0780000000000001</v>
      </c>
      <c r="K133" s="52">
        <f t="shared" si="0"/>
        <v>147865.14357615</v>
      </c>
      <c r="L133" s="52">
        <f t="shared" si="26"/>
        <v>1035056.0050330502</v>
      </c>
    </row>
    <row r="134" spans="1:12" ht="30" customHeight="1" x14ac:dyDescent="0.2">
      <c r="A134" s="27" t="s">
        <v>2407</v>
      </c>
      <c r="B134" s="27" t="s">
        <v>2256</v>
      </c>
      <c r="C134" s="27"/>
      <c r="D134" s="31">
        <f t="shared" si="25"/>
        <v>10.564</v>
      </c>
      <c r="E134" s="52">
        <v>47067</v>
      </c>
      <c r="F134" s="31">
        <v>1.47</v>
      </c>
      <c r="G134" s="31">
        <v>1.22</v>
      </c>
      <c r="H134" s="31">
        <v>1.25</v>
      </c>
      <c r="I134" s="31">
        <v>1.3</v>
      </c>
      <c r="J134" s="31">
        <v>1.0780000000000001</v>
      </c>
      <c r="K134" s="52">
        <f t="shared" si="0"/>
        <v>147865.14357615</v>
      </c>
      <c r="L134" s="52">
        <f t="shared" si="26"/>
        <v>1182921.1486092003</v>
      </c>
    </row>
    <row r="135" spans="1:12" ht="30" customHeight="1" x14ac:dyDescent="0.2">
      <c r="A135" s="27" t="s">
        <v>2408</v>
      </c>
      <c r="B135" s="27" t="s">
        <v>2258</v>
      </c>
      <c r="C135" s="27"/>
      <c r="D135" s="31">
        <f t="shared" si="25"/>
        <v>11.946999999999999</v>
      </c>
      <c r="E135" s="52">
        <v>47067</v>
      </c>
      <c r="F135" s="31">
        <v>1.47</v>
      </c>
      <c r="G135" s="31">
        <v>1.22</v>
      </c>
      <c r="H135" s="31">
        <v>1.25</v>
      </c>
      <c r="I135" s="31">
        <v>1.3</v>
      </c>
      <c r="J135" s="31">
        <v>1.0780000000000001</v>
      </c>
      <c r="K135" s="52">
        <f t="shared" si="0"/>
        <v>147865.14357615</v>
      </c>
      <c r="L135" s="52">
        <f t="shared" si="26"/>
        <v>1330786.2921853503</v>
      </c>
    </row>
    <row r="136" spans="1:12" ht="30" customHeight="1" x14ac:dyDescent="0.2">
      <c r="A136" s="27" t="s">
        <v>2409</v>
      </c>
      <c r="B136" s="27" t="s">
        <v>2260</v>
      </c>
      <c r="C136" s="27"/>
      <c r="D136" s="31">
        <f t="shared" si="25"/>
        <v>13.329999999999998</v>
      </c>
      <c r="E136" s="52">
        <v>47067</v>
      </c>
      <c r="F136" s="31">
        <v>1.47</v>
      </c>
      <c r="G136" s="31">
        <v>1.22</v>
      </c>
      <c r="H136" s="31">
        <v>1.25</v>
      </c>
      <c r="I136" s="31">
        <v>1.3</v>
      </c>
      <c r="J136" s="31">
        <v>1.0780000000000001</v>
      </c>
      <c r="K136" s="52">
        <f t="shared" si="0"/>
        <v>147865.14357615</v>
      </c>
      <c r="L136" s="52">
        <f t="shared" si="26"/>
        <v>1478651.4357615004</v>
      </c>
    </row>
    <row r="137" spans="1:12" ht="30" customHeight="1" x14ac:dyDescent="0.2">
      <c r="A137" s="27" t="s">
        <v>2410</v>
      </c>
      <c r="B137" s="27" t="s">
        <v>2297</v>
      </c>
      <c r="C137" s="27"/>
      <c r="D137" s="31">
        <f t="shared" si="25"/>
        <v>14.712999999999997</v>
      </c>
      <c r="E137" s="52">
        <v>47067</v>
      </c>
      <c r="F137" s="31">
        <v>1.47</v>
      </c>
      <c r="G137" s="31">
        <v>1.22</v>
      </c>
      <c r="H137" s="31">
        <v>1.25</v>
      </c>
      <c r="I137" s="31">
        <v>1.3</v>
      </c>
      <c r="J137" s="31">
        <v>1.0780000000000001</v>
      </c>
      <c r="K137" s="52">
        <f t="shared" si="0"/>
        <v>147865.14357615</v>
      </c>
      <c r="L137" s="52">
        <f t="shared" si="26"/>
        <v>1626516.5793376504</v>
      </c>
    </row>
    <row r="138" spans="1:12" ht="30" customHeight="1" x14ac:dyDescent="0.2">
      <c r="A138" s="27" t="s">
        <v>2411</v>
      </c>
      <c r="B138" s="27" t="s">
        <v>2264</v>
      </c>
      <c r="C138" s="27"/>
      <c r="D138" s="31">
        <f t="shared" si="25"/>
        <v>16.095999999999997</v>
      </c>
      <c r="E138" s="52">
        <v>47067</v>
      </c>
      <c r="F138" s="31">
        <v>1.47</v>
      </c>
      <c r="G138" s="31">
        <v>1.22</v>
      </c>
      <c r="H138" s="31">
        <v>1.25</v>
      </c>
      <c r="I138" s="31">
        <v>1.3</v>
      </c>
      <c r="J138" s="31">
        <v>1.0780000000000001</v>
      </c>
      <c r="K138" s="52">
        <f t="shared" si="0"/>
        <v>147865.14357615</v>
      </c>
      <c r="L138" s="52">
        <f t="shared" si="26"/>
        <v>1774381.7229138005</v>
      </c>
    </row>
    <row r="139" spans="1:12" ht="30" customHeight="1" x14ac:dyDescent="0.2">
      <c r="A139" s="27" t="s">
        <v>2412</v>
      </c>
      <c r="B139" s="27" t="s">
        <v>2266</v>
      </c>
      <c r="C139" s="27"/>
      <c r="D139" s="31">
        <f t="shared" si="25"/>
        <v>17.478999999999996</v>
      </c>
      <c r="E139" s="52">
        <v>47067</v>
      </c>
      <c r="F139" s="31">
        <v>1.47</v>
      </c>
      <c r="G139" s="31">
        <v>1.22</v>
      </c>
      <c r="H139" s="31">
        <v>1.25</v>
      </c>
      <c r="I139" s="31">
        <v>1.3</v>
      </c>
      <c r="J139" s="31">
        <v>1.0780000000000001</v>
      </c>
      <c r="K139" s="52">
        <f t="shared" si="0"/>
        <v>147865.14357615</v>
      </c>
      <c r="L139" s="52">
        <f t="shared" si="26"/>
        <v>1922246.8664899506</v>
      </c>
    </row>
    <row r="140" spans="1:12" ht="30" customHeight="1" x14ac:dyDescent="0.2">
      <c r="A140" s="27" t="s">
        <v>2413</v>
      </c>
      <c r="B140" s="27" t="s">
        <v>2414</v>
      </c>
      <c r="C140" s="27"/>
      <c r="D140" s="31">
        <f>D139+1.9</f>
        <v>19.378999999999994</v>
      </c>
      <c r="E140" s="52">
        <v>47067</v>
      </c>
      <c r="F140" s="31">
        <v>1.47</v>
      </c>
      <c r="G140" s="31">
        <v>1.22</v>
      </c>
      <c r="H140" s="31">
        <v>1.25</v>
      </c>
      <c r="I140" s="31">
        <v>1.3</v>
      </c>
      <c r="J140" s="31">
        <v>1.0780000000000001</v>
      </c>
      <c r="K140" s="52">
        <f t="shared" si="0"/>
        <v>147865.14357615</v>
      </c>
      <c r="L140" s="52">
        <f t="shared" si="26"/>
        <v>2070112.0100661006</v>
      </c>
    </row>
    <row r="141" spans="1:12" ht="30" customHeight="1" x14ac:dyDescent="0.2">
      <c r="A141" s="27" t="s">
        <v>2415</v>
      </c>
      <c r="B141" s="27" t="s">
        <v>2270</v>
      </c>
      <c r="C141" s="27"/>
      <c r="D141" s="31">
        <f t="shared" ref="D141:D149" si="27">D140+1.383</f>
        <v>20.761999999999993</v>
      </c>
      <c r="E141" s="52">
        <v>47067</v>
      </c>
      <c r="F141" s="31">
        <v>1.47</v>
      </c>
      <c r="G141" s="31">
        <v>1.22</v>
      </c>
      <c r="H141" s="31">
        <v>1.25</v>
      </c>
      <c r="I141" s="31">
        <v>1.3</v>
      </c>
      <c r="J141" s="31">
        <v>1.0780000000000001</v>
      </c>
      <c r="K141" s="52">
        <f t="shared" si="0"/>
        <v>147865.14357615</v>
      </c>
      <c r="L141" s="52">
        <f t="shared" si="26"/>
        <v>2217977.1536422507</v>
      </c>
    </row>
    <row r="142" spans="1:12" ht="30" customHeight="1" x14ac:dyDescent="0.2">
      <c r="A142" s="27" t="s">
        <v>2416</v>
      </c>
      <c r="B142" s="27" t="s">
        <v>2303</v>
      </c>
      <c r="C142" s="27"/>
      <c r="D142" s="31">
        <f t="shared" si="27"/>
        <v>22.144999999999992</v>
      </c>
      <c r="E142" s="52">
        <v>47067</v>
      </c>
      <c r="F142" s="31">
        <v>1.47</v>
      </c>
      <c r="G142" s="31">
        <v>1.22</v>
      </c>
      <c r="H142" s="31">
        <v>1.25</v>
      </c>
      <c r="I142" s="31">
        <v>1.3</v>
      </c>
      <c r="J142" s="31">
        <v>1.0780000000000001</v>
      </c>
      <c r="K142" s="52">
        <f t="shared" si="0"/>
        <v>147865.14357615</v>
      </c>
      <c r="L142" s="52">
        <f t="shared" si="26"/>
        <v>2365842.2972184005</v>
      </c>
    </row>
    <row r="143" spans="1:12" ht="30" customHeight="1" x14ac:dyDescent="0.2">
      <c r="A143" s="27" t="s">
        <v>2417</v>
      </c>
      <c r="B143" s="27" t="s">
        <v>2274</v>
      </c>
      <c r="C143" s="27"/>
      <c r="D143" s="31">
        <f t="shared" si="27"/>
        <v>23.527999999999992</v>
      </c>
      <c r="E143" s="52">
        <v>47067</v>
      </c>
      <c r="F143" s="31">
        <v>1.47</v>
      </c>
      <c r="G143" s="31">
        <v>1.22</v>
      </c>
      <c r="H143" s="31">
        <v>1.25</v>
      </c>
      <c r="I143" s="31">
        <v>1.3</v>
      </c>
      <c r="J143" s="31">
        <v>1.0780000000000001</v>
      </c>
      <c r="K143" s="52">
        <f t="shared" si="0"/>
        <v>147865.14357615</v>
      </c>
      <c r="L143" s="52">
        <f t="shared" si="26"/>
        <v>2513707.4407945503</v>
      </c>
    </row>
    <row r="144" spans="1:12" ht="30" customHeight="1" x14ac:dyDescent="0.2">
      <c r="A144" s="27" t="s">
        <v>2418</v>
      </c>
      <c r="B144" s="27" t="s">
        <v>2276</v>
      </c>
      <c r="C144" s="27"/>
      <c r="D144" s="31">
        <f t="shared" si="27"/>
        <v>24.910999999999991</v>
      </c>
      <c r="E144" s="52">
        <v>47067</v>
      </c>
      <c r="F144" s="31">
        <v>1.47</v>
      </c>
      <c r="G144" s="31">
        <v>1.22</v>
      </c>
      <c r="H144" s="31">
        <v>1.25</v>
      </c>
      <c r="I144" s="31">
        <v>1.3</v>
      </c>
      <c r="J144" s="31">
        <v>1.0780000000000001</v>
      </c>
      <c r="K144" s="52">
        <f t="shared" si="0"/>
        <v>147865.14357615</v>
      </c>
      <c r="L144" s="52">
        <f t="shared" si="26"/>
        <v>2661572.5843707002</v>
      </c>
    </row>
    <row r="145" spans="1:12" ht="30" customHeight="1" x14ac:dyDescent="0.2">
      <c r="A145" s="27" t="s">
        <v>2419</v>
      </c>
      <c r="B145" s="27" t="s">
        <v>2278</v>
      </c>
      <c r="C145" s="27"/>
      <c r="D145" s="31">
        <f t="shared" si="27"/>
        <v>26.29399999999999</v>
      </c>
      <c r="E145" s="52">
        <v>47067</v>
      </c>
      <c r="F145" s="31">
        <v>1.47</v>
      </c>
      <c r="G145" s="31">
        <v>1.22</v>
      </c>
      <c r="H145" s="31">
        <v>1.25</v>
      </c>
      <c r="I145" s="31">
        <v>1.3</v>
      </c>
      <c r="J145" s="31">
        <v>1.0780000000000001</v>
      </c>
      <c r="K145" s="52">
        <f t="shared" si="0"/>
        <v>147865.14357615</v>
      </c>
      <c r="L145" s="52">
        <f t="shared" si="26"/>
        <v>2809437.72794685</v>
      </c>
    </row>
    <row r="146" spans="1:12" ht="30" customHeight="1" x14ac:dyDescent="0.2">
      <c r="A146" s="27" t="s">
        <v>2420</v>
      </c>
      <c r="B146" s="27" t="s">
        <v>2280</v>
      </c>
      <c r="C146" s="27"/>
      <c r="D146" s="31">
        <f t="shared" si="27"/>
        <v>27.676999999999989</v>
      </c>
      <c r="E146" s="52">
        <v>47067</v>
      </c>
      <c r="F146" s="31">
        <v>1.47</v>
      </c>
      <c r="G146" s="31">
        <v>1.22</v>
      </c>
      <c r="H146" s="31">
        <v>1.25</v>
      </c>
      <c r="I146" s="31">
        <v>1.3</v>
      </c>
      <c r="J146" s="31">
        <v>1.0780000000000001</v>
      </c>
      <c r="K146" s="52">
        <f t="shared" si="0"/>
        <v>147865.14357615</v>
      </c>
      <c r="L146" s="52">
        <f t="shared" si="26"/>
        <v>2957302.8715229998</v>
      </c>
    </row>
    <row r="147" spans="1:12" ht="30" customHeight="1" x14ac:dyDescent="0.2">
      <c r="A147" s="27" t="s">
        <v>2421</v>
      </c>
      <c r="B147" s="27" t="s">
        <v>2309</v>
      </c>
      <c r="C147" s="27"/>
      <c r="D147" s="31">
        <f t="shared" si="27"/>
        <v>29.059999999999988</v>
      </c>
      <c r="E147" s="52">
        <v>47067</v>
      </c>
      <c r="F147" s="31">
        <v>1.47</v>
      </c>
      <c r="G147" s="31">
        <v>1.22</v>
      </c>
      <c r="H147" s="31">
        <v>1.25</v>
      </c>
      <c r="I147" s="31">
        <v>1.3</v>
      </c>
      <c r="J147" s="31">
        <v>1.0780000000000001</v>
      </c>
      <c r="K147" s="52">
        <f t="shared" si="0"/>
        <v>147865.14357615</v>
      </c>
      <c r="L147" s="52">
        <f t="shared" si="26"/>
        <v>3105168.0150991497</v>
      </c>
    </row>
    <row r="148" spans="1:12" ht="30" customHeight="1" x14ac:dyDescent="0.2">
      <c r="A148" s="27" t="s">
        <v>2422</v>
      </c>
      <c r="B148" s="27" t="s">
        <v>2284</v>
      </c>
      <c r="C148" s="27"/>
      <c r="D148" s="31">
        <f t="shared" si="27"/>
        <v>30.442999999999987</v>
      </c>
      <c r="E148" s="52">
        <v>47067</v>
      </c>
      <c r="F148" s="31">
        <v>1.47</v>
      </c>
      <c r="G148" s="31">
        <v>1.22</v>
      </c>
      <c r="H148" s="31">
        <v>1.25</v>
      </c>
      <c r="I148" s="31">
        <v>1.3</v>
      </c>
      <c r="J148" s="31">
        <v>1.0780000000000001</v>
      </c>
      <c r="K148" s="52">
        <f t="shared" si="0"/>
        <v>147865.14357615</v>
      </c>
      <c r="L148" s="52">
        <f t="shared" si="26"/>
        <v>3253033.1586752995</v>
      </c>
    </row>
    <row r="149" spans="1:12" ht="30" customHeight="1" x14ac:dyDescent="0.2">
      <c r="A149" s="27" t="s">
        <v>2423</v>
      </c>
      <c r="B149" s="27" t="s">
        <v>2424</v>
      </c>
      <c r="C149" s="27"/>
      <c r="D149" s="31">
        <f t="shared" si="27"/>
        <v>31.825999999999986</v>
      </c>
      <c r="E149" s="52">
        <v>47067</v>
      </c>
      <c r="F149" s="31">
        <v>1.47</v>
      </c>
      <c r="G149" s="31">
        <v>1.22</v>
      </c>
      <c r="H149" s="31">
        <v>1.25</v>
      </c>
      <c r="I149" s="31">
        <v>1.3</v>
      </c>
      <c r="J149" s="31">
        <v>1.0780000000000001</v>
      </c>
      <c r="K149" s="52">
        <f t="shared" si="0"/>
        <v>147865.14357615</v>
      </c>
      <c r="L149" s="52">
        <f t="shared" si="26"/>
        <v>3400898.3022514493</v>
      </c>
    </row>
    <row r="150" spans="1:12" ht="30" customHeight="1" x14ac:dyDescent="0.2">
      <c r="A150" s="27" t="s">
        <v>2425</v>
      </c>
      <c r="B150" s="27" t="s">
        <v>2426</v>
      </c>
      <c r="C150" s="27"/>
      <c r="D150" s="31">
        <v>0.58299999999999996</v>
      </c>
      <c r="E150" s="52">
        <f t="shared" ref="E150:E170" si="28">27149+27149*1.15</f>
        <v>58370.35</v>
      </c>
      <c r="F150" s="31">
        <f>(30076*1.4+30076*1.15*1.47)/E150</f>
        <v>1.5924159783177587</v>
      </c>
      <c r="G150" s="31">
        <f>(30076*1.4*1.1+30076*1.15*1.47*1.17)/E150/F150</f>
        <v>1.1382899207248018</v>
      </c>
      <c r="H150" s="31">
        <v>1.25</v>
      </c>
      <c r="I150" s="31">
        <v>1.3</v>
      </c>
      <c r="J150" s="31">
        <v>1.0780000000000001</v>
      </c>
      <c r="K150" s="52">
        <f t="shared" si="0"/>
        <v>185341.998046205</v>
      </c>
      <c r="L150" s="52">
        <f>K150</f>
        <v>185341.998046205</v>
      </c>
    </row>
    <row r="151" spans="1:12" ht="30" customHeight="1" x14ac:dyDescent="0.2">
      <c r="A151" s="27" t="s">
        <v>2427</v>
      </c>
      <c r="B151" s="27" t="s">
        <v>2428</v>
      </c>
      <c r="C151" s="27"/>
      <c r="D151" s="31">
        <f t="shared" ref="D151:D153" si="29">D150+1.4</f>
        <v>1.9829999999999999</v>
      </c>
      <c r="E151" s="52">
        <f t="shared" si="28"/>
        <v>58370.35</v>
      </c>
      <c r="F151" s="31">
        <f t="shared" ref="F151:G151" si="30">F150</f>
        <v>1.5924159783177587</v>
      </c>
      <c r="G151" s="31">
        <f t="shared" si="30"/>
        <v>1.1382899207248018</v>
      </c>
      <c r="H151" s="31">
        <v>1.25</v>
      </c>
      <c r="I151" s="31">
        <v>1.3</v>
      </c>
      <c r="J151" s="31">
        <v>1.0780000000000001</v>
      </c>
      <c r="K151" s="52">
        <f t="shared" si="0"/>
        <v>185341.998046205</v>
      </c>
      <c r="L151" s="52">
        <f t="shared" ref="L151:L170" si="31">K151+L150</f>
        <v>370683.99609241</v>
      </c>
    </row>
    <row r="152" spans="1:12" ht="30" customHeight="1" x14ac:dyDescent="0.2">
      <c r="A152" s="27" t="s">
        <v>2429</v>
      </c>
      <c r="B152" s="27" t="s">
        <v>2430</v>
      </c>
      <c r="C152" s="27"/>
      <c r="D152" s="31">
        <f t="shared" si="29"/>
        <v>3.383</v>
      </c>
      <c r="E152" s="52">
        <f t="shared" si="28"/>
        <v>58370.35</v>
      </c>
      <c r="F152" s="31">
        <f t="shared" ref="F152:G152" si="32">F151</f>
        <v>1.5924159783177587</v>
      </c>
      <c r="G152" s="31">
        <f t="shared" si="32"/>
        <v>1.1382899207248018</v>
      </c>
      <c r="H152" s="31">
        <v>1.25</v>
      </c>
      <c r="I152" s="31">
        <v>1.3</v>
      </c>
      <c r="J152" s="31">
        <v>1.0780000000000001</v>
      </c>
      <c r="K152" s="52">
        <f t="shared" si="0"/>
        <v>185341.998046205</v>
      </c>
      <c r="L152" s="52">
        <f t="shared" si="31"/>
        <v>556025.99413861497</v>
      </c>
    </row>
    <row r="153" spans="1:12" ht="30" customHeight="1" x14ac:dyDescent="0.2">
      <c r="A153" s="27" t="s">
        <v>2431</v>
      </c>
      <c r="B153" s="27" t="s">
        <v>2432</v>
      </c>
      <c r="C153" s="27"/>
      <c r="D153" s="31">
        <f t="shared" si="29"/>
        <v>4.7829999999999995</v>
      </c>
      <c r="E153" s="52">
        <f t="shared" si="28"/>
        <v>58370.35</v>
      </c>
      <c r="F153" s="31">
        <f t="shared" ref="F153:G153" si="33">F152</f>
        <v>1.5924159783177587</v>
      </c>
      <c r="G153" s="31">
        <f t="shared" si="33"/>
        <v>1.1382899207248018</v>
      </c>
      <c r="H153" s="31">
        <v>1.25</v>
      </c>
      <c r="I153" s="31">
        <v>1.3</v>
      </c>
      <c r="J153" s="31">
        <v>1.0780000000000001</v>
      </c>
      <c r="K153" s="52">
        <f t="shared" si="0"/>
        <v>185341.998046205</v>
      </c>
      <c r="L153" s="52">
        <f t="shared" si="31"/>
        <v>741367.99218482</v>
      </c>
    </row>
    <row r="154" spans="1:12" ht="30" customHeight="1" x14ac:dyDescent="0.2">
      <c r="A154" s="27" t="s">
        <v>2433</v>
      </c>
      <c r="B154" s="27" t="s">
        <v>2434</v>
      </c>
      <c r="C154" s="27"/>
      <c r="D154" s="31">
        <f>D153+1.716</f>
        <v>6.4989999999999997</v>
      </c>
      <c r="E154" s="52">
        <f t="shared" si="28"/>
        <v>58370.35</v>
      </c>
      <c r="F154" s="31">
        <f t="shared" ref="F154:G154" si="34">F153</f>
        <v>1.5924159783177587</v>
      </c>
      <c r="G154" s="31">
        <f t="shared" si="34"/>
        <v>1.1382899207248018</v>
      </c>
      <c r="H154" s="31">
        <v>1.25</v>
      </c>
      <c r="I154" s="31">
        <v>1.3</v>
      </c>
      <c r="J154" s="31">
        <v>1.0780000000000001</v>
      </c>
      <c r="K154" s="52">
        <f t="shared" si="0"/>
        <v>185341.998046205</v>
      </c>
      <c r="L154" s="52">
        <f t="shared" si="31"/>
        <v>926709.99023102503</v>
      </c>
    </row>
    <row r="155" spans="1:12" ht="30" customHeight="1" x14ac:dyDescent="0.2">
      <c r="A155" s="27" t="s">
        <v>2435</v>
      </c>
      <c r="B155" s="27" t="s">
        <v>2436</v>
      </c>
      <c r="C155" s="27"/>
      <c r="D155" s="31">
        <f t="shared" ref="D155:D157" si="35">D154+1.4</f>
        <v>7.8989999999999991</v>
      </c>
      <c r="E155" s="52">
        <f t="shared" si="28"/>
        <v>58370.35</v>
      </c>
      <c r="F155" s="31">
        <f t="shared" ref="F155:G155" si="36">F154</f>
        <v>1.5924159783177587</v>
      </c>
      <c r="G155" s="31">
        <f t="shared" si="36"/>
        <v>1.1382899207248018</v>
      </c>
      <c r="H155" s="31">
        <v>1.25</v>
      </c>
      <c r="I155" s="31">
        <v>1.3</v>
      </c>
      <c r="J155" s="31">
        <v>1.0780000000000001</v>
      </c>
      <c r="K155" s="52">
        <f t="shared" si="0"/>
        <v>185341.998046205</v>
      </c>
      <c r="L155" s="52">
        <f t="shared" si="31"/>
        <v>1112051.9882772299</v>
      </c>
    </row>
    <row r="156" spans="1:12" ht="30" customHeight="1" x14ac:dyDescent="0.2">
      <c r="A156" s="27" t="s">
        <v>2437</v>
      </c>
      <c r="B156" s="27" t="s">
        <v>2438</v>
      </c>
      <c r="C156" s="27"/>
      <c r="D156" s="31">
        <f t="shared" si="35"/>
        <v>9.2989999999999995</v>
      </c>
      <c r="E156" s="52">
        <f t="shared" si="28"/>
        <v>58370.35</v>
      </c>
      <c r="F156" s="31">
        <f t="shared" ref="F156:G156" si="37">F155</f>
        <v>1.5924159783177587</v>
      </c>
      <c r="G156" s="31">
        <f t="shared" si="37"/>
        <v>1.1382899207248018</v>
      </c>
      <c r="H156" s="31">
        <v>1.25</v>
      </c>
      <c r="I156" s="31">
        <v>1.3</v>
      </c>
      <c r="J156" s="31">
        <v>1.0780000000000001</v>
      </c>
      <c r="K156" s="52">
        <f t="shared" si="0"/>
        <v>185341.998046205</v>
      </c>
      <c r="L156" s="52">
        <f t="shared" si="31"/>
        <v>1297393.9863234349</v>
      </c>
    </row>
    <row r="157" spans="1:12" ht="30" customHeight="1" x14ac:dyDescent="0.2">
      <c r="A157" s="27" t="s">
        <v>2439</v>
      </c>
      <c r="B157" s="27" t="s">
        <v>2440</v>
      </c>
      <c r="C157" s="27"/>
      <c r="D157" s="31">
        <f t="shared" si="35"/>
        <v>10.699</v>
      </c>
      <c r="E157" s="52">
        <f t="shared" si="28"/>
        <v>58370.35</v>
      </c>
      <c r="F157" s="31">
        <f t="shared" ref="F157:G157" si="38">F156</f>
        <v>1.5924159783177587</v>
      </c>
      <c r="G157" s="31">
        <f t="shared" si="38"/>
        <v>1.1382899207248018</v>
      </c>
      <c r="H157" s="31">
        <v>1.25</v>
      </c>
      <c r="I157" s="31">
        <v>1.3</v>
      </c>
      <c r="J157" s="31">
        <v>1.0780000000000001</v>
      </c>
      <c r="K157" s="52">
        <f t="shared" si="0"/>
        <v>185341.998046205</v>
      </c>
      <c r="L157" s="52">
        <f t="shared" si="31"/>
        <v>1482735.9843696398</v>
      </c>
    </row>
    <row r="158" spans="1:12" ht="30" customHeight="1" x14ac:dyDescent="0.2">
      <c r="A158" s="27" t="s">
        <v>2441</v>
      </c>
      <c r="B158" s="27" t="s">
        <v>2442</v>
      </c>
      <c r="C158" s="27"/>
      <c r="D158" s="31">
        <f>D157+1.716</f>
        <v>12.414999999999999</v>
      </c>
      <c r="E158" s="52">
        <f t="shared" si="28"/>
        <v>58370.35</v>
      </c>
      <c r="F158" s="31">
        <f t="shared" ref="F158:G158" si="39">F157</f>
        <v>1.5924159783177587</v>
      </c>
      <c r="G158" s="31">
        <f t="shared" si="39"/>
        <v>1.1382899207248018</v>
      </c>
      <c r="H158" s="31">
        <v>1.25</v>
      </c>
      <c r="I158" s="31">
        <v>1.3</v>
      </c>
      <c r="J158" s="31">
        <v>1.0780000000000001</v>
      </c>
      <c r="K158" s="52">
        <f t="shared" si="0"/>
        <v>185341.998046205</v>
      </c>
      <c r="L158" s="52">
        <f t="shared" si="31"/>
        <v>1668077.9824158447</v>
      </c>
    </row>
    <row r="159" spans="1:12" ht="30" customHeight="1" x14ac:dyDescent="0.2">
      <c r="A159" s="27" t="s">
        <v>2443</v>
      </c>
      <c r="B159" s="27" t="s">
        <v>2444</v>
      </c>
      <c r="C159" s="27"/>
      <c r="D159" s="31">
        <f t="shared" ref="D159:D161" si="40">D158+1.4</f>
        <v>13.815</v>
      </c>
      <c r="E159" s="52">
        <f t="shared" si="28"/>
        <v>58370.35</v>
      </c>
      <c r="F159" s="31">
        <f t="shared" ref="F159:G159" si="41">F158</f>
        <v>1.5924159783177587</v>
      </c>
      <c r="G159" s="31">
        <f t="shared" si="41"/>
        <v>1.1382899207248018</v>
      </c>
      <c r="H159" s="31">
        <v>1.25</v>
      </c>
      <c r="I159" s="31">
        <v>1.3</v>
      </c>
      <c r="J159" s="31">
        <v>1.0780000000000001</v>
      </c>
      <c r="K159" s="52">
        <f t="shared" si="0"/>
        <v>185341.998046205</v>
      </c>
      <c r="L159" s="52">
        <f t="shared" si="31"/>
        <v>1853419.9804620496</v>
      </c>
    </row>
    <row r="160" spans="1:12" ht="30" customHeight="1" x14ac:dyDescent="0.2">
      <c r="A160" s="27" t="s">
        <v>2445</v>
      </c>
      <c r="B160" s="27" t="s">
        <v>2446</v>
      </c>
      <c r="C160" s="27"/>
      <c r="D160" s="31">
        <f t="shared" si="40"/>
        <v>15.215</v>
      </c>
      <c r="E160" s="52">
        <f t="shared" si="28"/>
        <v>58370.35</v>
      </c>
      <c r="F160" s="31">
        <f t="shared" ref="F160:G160" si="42">F159</f>
        <v>1.5924159783177587</v>
      </c>
      <c r="G160" s="31">
        <f t="shared" si="42"/>
        <v>1.1382899207248018</v>
      </c>
      <c r="H160" s="31">
        <v>1.25</v>
      </c>
      <c r="I160" s="31">
        <v>1.3</v>
      </c>
      <c r="J160" s="31">
        <v>1.0780000000000001</v>
      </c>
      <c r="K160" s="52">
        <f t="shared" si="0"/>
        <v>185341.998046205</v>
      </c>
      <c r="L160" s="52">
        <f t="shared" si="31"/>
        <v>2038761.9785082545</v>
      </c>
    </row>
    <row r="161" spans="1:12" ht="30" customHeight="1" x14ac:dyDescent="0.2">
      <c r="A161" s="27" t="s">
        <v>2447</v>
      </c>
      <c r="B161" s="27" t="s">
        <v>2448</v>
      </c>
      <c r="C161" s="27"/>
      <c r="D161" s="31">
        <f t="shared" si="40"/>
        <v>16.614999999999998</v>
      </c>
      <c r="E161" s="52">
        <f t="shared" si="28"/>
        <v>58370.35</v>
      </c>
      <c r="F161" s="31">
        <f t="shared" ref="F161:G161" si="43">F160</f>
        <v>1.5924159783177587</v>
      </c>
      <c r="G161" s="31">
        <f t="shared" si="43"/>
        <v>1.1382899207248018</v>
      </c>
      <c r="H161" s="31">
        <v>1.25</v>
      </c>
      <c r="I161" s="31">
        <v>1.3</v>
      </c>
      <c r="J161" s="31">
        <v>1.0780000000000001</v>
      </c>
      <c r="K161" s="52">
        <f t="shared" si="0"/>
        <v>185341.998046205</v>
      </c>
      <c r="L161" s="52">
        <f t="shared" si="31"/>
        <v>2224103.9765544594</v>
      </c>
    </row>
    <row r="162" spans="1:12" ht="30" customHeight="1" x14ac:dyDescent="0.2">
      <c r="A162" s="27" t="s">
        <v>2449</v>
      </c>
      <c r="B162" s="27" t="s">
        <v>2450</v>
      </c>
      <c r="C162" s="27"/>
      <c r="D162" s="31">
        <f>D161+1.716</f>
        <v>18.331</v>
      </c>
      <c r="E162" s="52">
        <f t="shared" si="28"/>
        <v>58370.35</v>
      </c>
      <c r="F162" s="31">
        <f t="shared" ref="F162:G162" si="44">F161</f>
        <v>1.5924159783177587</v>
      </c>
      <c r="G162" s="31">
        <f t="shared" si="44"/>
        <v>1.1382899207248018</v>
      </c>
      <c r="H162" s="31">
        <v>1.25</v>
      </c>
      <c r="I162" s="31">
        <v>1.3</v>
      </c>
      <c r="J162" s="31">
        <v>1.0780000000000001</v>
      </c>
      <c r="K162" s="52">
        <f t="shared" si="0"/>
        <v>185341.998046205</v>
      </c>
      <c r="L162" s="52">
        <f t="shared" si="31"/>
        <v>2409445.9746006643</v>
      </c>
    </row>
    <row r="163" spans="1:12" ht="30" customHeight="1" x14ac:dyDescent="0.2">
      <c r="A163" s="27" t="s">
        <v>2451</v>
      </c>
      <c r="B163" s="27" t="s">
        <v>2452</v>
      </c>
      <c r="C163" s="27"/>
      <c r="D163" s="31">
        <f t="shared" ref="D163:D165" si="45">D162+1.4</f>
        <v>19.730999999999998</v>
      </c>
      <c r="E163" s="52">
        <f t="shared" si="28"/>
        <v>58370.35</v>
      </c>
      <c r="F163" s="31">
        <f t="shared" ref="F163:G163" si="46">F162</f>
        <v>1.5924159783177587</v>
      </c>
      <c r="G163" s="31">
        <f t="shared" si="46"/>
        <v>1.1382899207248018</v>
      </c>
      <c r="H163" s="31">
        <v>1.25</v>
      </c>
      <c r="I163" s="31">
        <v>1.3</v>
      </c>
      <c r="J163" s="31">
        <v>1.0780000000000001</v>
      </c>
      <c r="K163" s="52">
        <f t="shared" si="0"/>
        <v>185341.998046205</v>
      </c>
      <c r="L163" s="52">
        <f t="shared" si="31"/>
        <v>2594787.9726468693</v>
      </c>
    </row>
    <row r="164" spans="1:12" ht="30" customHeight="1" x14ac:dyDescent="0.2">
      <c r="A164" s="27" t="s">
        <v>2453</v>
      </c>
      <c r="B164" s="27" t="s">
        <v>2454</v>
      </c>
      <c r="C164" s="27"/>
      <c r="D164" s="31">
        <f t="shared" si="45"/>
        <v>21.130999999999997</v>
      </c>
      <c r="E164" s="52">
        <f t="shared" si="28"/>
        <v>58370.35</v>
      </c>
      <c r="F164" s="31">
        <f t="shared" ref="F164:G164" si="47">F163</f>
        <v>1.5924159783177587</v>
      </c>
      <c r="G164" s="31">
        <f t="shared" si="47"/>
        <v>1.1382899207248018</v>
      </c>
      <c r="H164" s="31">
        <v>1.25</v>
      </c>
      <c r="I164" s="31">
        <v>1.3</v>
      </c>
      <c r="J164" s="31">
        <v>1.0780000000000001</v>
      </c>
      <c r="K164" s="52">
        <f t="shared" si="0"/>
        <v>185341.998046205</v>
      </c>
      <c r="L164" s="52">
        <f t="shared" si="31"/>
        <v>2780129.9706930742</v>
      </c>
    </row>
    <row r="165" spans="1:12" ht="30" customHeight="1" x14ac:dyDescent="0.2">
      <c r="A165" s="27" t="s">
        <v>2455</v>
      </c>
      <c r="B165" s="27" t="s">
        <v>2456</v>
      </c>
      <c r="C165" s="27"/>
      <c r="D165" s="31">
        <f t="shared" si="45"/>
        <v>22.530999999999995</v>
      </c>
      <c r="E165" s="52">
        <f t="shared" si="28"/>
        <v>58370.35</v>
      </c>
      <c r="F165" s="31">
        <f t="shared" ref="F165:G165" si="48">F164</f>
        <v>1.5924159783177587</v>
      </c>
      <c r="G165" s="31">
        <f t="shared" si="48"/>
        <v>1.1382899207248018</v>
      </c>
      <c r="H165" s="31">
        <v>1.25</v>
      </c>
      <c r="I165" s="31">
        <v>1.3</v>
      </c>
      <c r="J165" s="31">
        <v>1.0780000000000001</v>
      </c>
      <c r="K165" s="52">
        <f t="shared" si="0"/>
        <v>185341.998046205</v>
      </c>
      <c r="L165" s="52">
        <f t="shared" si="31"/>
        <v>2965471.9687392791</v>
      </c>
    </row>
    <row r="166" spans="1:12" ht="30" customHeight="1" x14ac:dyDescent="0.2">
      <c r="A166" s="27" t="s">
        <v>2457</v>
      </c>
      <c r="B166" s="27" t="s">
        <v>2458</v>
      </c>
      <c r="C166" s="27"/>
      <c r="D166" s="31">
        <f>D165+1.716</f>
        <v>24.246999999999996</v>
      </c>
      <c r="E166" s="52">
        <f t="shared" si="28"/>
        <v>58370.35</v>
      </c>
      <c r="F166" s="31">
        <f t="shared" ref="F166:G166" si="49">F165</f>
        <v>1.5924159783177587</v>
      </c>
      <c r="G166" s="31">
        <f t="shared" si="49"/>
        <v>1.1382899207248018</v>
      </c>
      <c r="H166" s="31">
        <v>1.25</v>
      </c>
      <c r="I166" s="31">
        <v>1.3</v>
      </c>
      <c r="J166" s="31">
        <v>1.0780000000000001</v>
      </c>
      <c r="K166" s="52">
        <f t="shared" si="0"/>
        <v>185341.998046205</v>
      </c>
      <c r="L166" s="52">
        <f t="shared" si="31"/>
        <v>3150813.966785484</v>
      </c>
    </row>
    <row r="167" spans="1:12" ht="30" customHeight="1" x14ac:dyDescent="0.2">
      <c r="A167" s="27" t="s">
        <v>2459</v>
      </c>
      <c r="B167" s="27" t="s">
        <v>2460</v>
      </c>
      <c r="C167" s="27"/>
      <c r="D167" s="31">
        <f t="shared" ref="D167:D169" si="50">D166+1.4</f>
        <v>25.646999999999995</v>
      </c>
      <c r="E167" s="52">
        <f t="shared" si="28"/>
        <v>58370.35</v>
      </c>
      <c r="F167" s="31">
        <f t="shared" ref="F167:G167" si="51">F166</f>
        <v>1.5924159783177587</v>
      </c>
      <c r="G167" s="31">
        <f t="shared" si="51"/>
        <v>1.1382899207248018</v>
      </c>
      <c r="H167" s="31">
        <v>1.25</v>
      </c>
      <c r="I167" s="31">
        <v>1.3</v>
      </c>
      <c r="J167" s="31">
        <v>1.0780000000000001</v>
      </c>
      <c r="K167" s="52">
        <f t="shared" si="0"/>
        <v>185341.998046205</v>
      </c>
      <c r="L167" s="52">
        <f t="shared" si="31"/>
        <v>3336155.9648316889</v>
      </c>
    </row>
    <row r="168" spans="1:12" ht="30" customHeight="1" x14ac:dyDescent="0.2">
      <c r="A168" s="27" t="s">
        <v>2461</v>
      </c>
      <c r="B168" s="27" t="s">
        <v>2462</v>
      </c>
      <c r="C168" s="27"/>
      <c r="D168" s="31">
        <f t="shared" si="50"/>
        <v>27.046999999999993</v>
      </c>
      <c r="E168" s="52">
        <f t="shared" si="28"/>
        <v>58370.35</v>
      </c>
      <c r="F168" s="31">
        <f t="shared" ref="F168:G168" si="52">F167</f>
        <v>1.5924159783177587</v>
      </c>
      <c r="G168" s="31">
        <f t="shared" si="52"/>
        <v>1.1382899207248018</v>
      </c>
      <c r="H168" s="31">
        <v>1.25</v>
      </c>
      <c r="I168" s="31">
        <v>1.3</v>
      </c>
      <c r="J168" s="31">
        <v>1.0780000000000001</v>
      </c>
      <c r="K168" s="52">
        <f t="shared" si="0"/>
        <v>185341.998046205</v>
      </c>
      <c r="L168" s="52">
        <f t="shared" si="31"/>
        <v>3521497.9628778938</v>
      </c>
    </row>
    <row r="169" spans="1:12" ht="30" customHeight="1" x14ac:dyDescent="0.2">
      <c r="A169" s="27" t="s">
        <v>2463</v>
      </c>
      <c r="B169" s="27" t="s">
        <v>2464</v>
      </c>
      <c r="C169" s="27"/>
      <c r="D169" s="31">
        <f t="shared" si="50"/>
        <v>28.446999999999992</v>
      </c>
      <c r="E169" s="52">
        <f t="shared" si="28"/>
        <v>58370.35</v>
      </c>
      <c r="F169" s="31">
        <f t="shared" ref="F169:G169" si="53">F168</f>
        <v>1.5924159783177587</v>
      </c>
      <c r="G169" s="31">
        <f t="shared" si="53"/>
        <v>1.1382899207248018</v>
      </c>
      <c r="H169" s="31">
        <v>1.25</v>
      </c>
      <c r="I169" s="31">
        <v>1.3</v>
      </c>
      <c r="J169" s="31">
        <v>1.0780000000000001</v>
      </c>
      <c r="K169" s="52">
        <f t="shared" si="0"/>
        <v>185341.998046205</v>
      </c>
      <c r="L169" s="52">
        <f t="shared" si="31"/>
        <v>3706839.9609240987</v>
      </c>
    </row>
    <row r="170" spans="1:12" ht="30" customHeight="1" x14ac:dyDescent="0.2">
      <c r="A170" s="27" t="s">
        <v>2465</v>
      </c>
      <c r="B170" s="27" t="s">
        <v>2466</v>
      </c>
      <c r="C170" s="27"/>
      <c r="D170" s="31">
        <f>D169+1.716</f>
        <v>30.162999999999993</v>
      </c>
      <c r="E170" s="52">
        <f t="shared" si="28"/>
        <v>58370.35</v>
      </c>
      <c r="F170" s="31">
        <f t="shared" ref="F170:G170" si="54">F169</f>
        <v>1.5924159783177587</v>
      </c>
      <c r="G170" s="31">
        <f t="shared" si="54"/>
        <v>1.1382899207248018</v>
      </c>
      <c r="H170" s="31">
        <v>1.25</v>
      </c>
      <c r="I170" s="31">
        <v>1.3</v>
      </c>
      <c r="J170" s="31">
        <v>1.0780000000000001</v>
      </c>
      <c r="K170" s="52">
        <f t="shared" si="0"/>
        <v>185341.998046205</v>
      </c>
      <c r="L170" s="52">
        <f t="shared" si="31"/>
        <v>3892181.9589703036</v>
      </c>
    </row>
    <row r="171" spans="1:12" ht="30" customHeight="1" x14ac:dyDescent="0.2">
      <c r="A171" s="27" t="s">
        <v>2467</v>
      </c>
      <c r="B171" s="27" t="s">
        <v>2242</v>
      </c>
      <c r="C171" s="27"/>
      <c r="D171" s="31">
        <v>0</v>
      </c>
      <c r="E171" s="52">
        <f t="shared" ref="E171:E194" si="55">22212*1.15</f>
        <v>25543.8</v>
      </c>
      <c r="F171" s="31">
        <v>1.2</v>
      </c>
      <c r="G171" s="31">
        <v>1.22</v>
      </c>
      <c r="H171" s="31">
        <v>1.25</v>
      </c>
      <c r="I171" s="31">
        <v>1.3</v>
      </c>
      <c r="J171" s="31">
        <v>1.0777000000000001</v>
      </c>
      <c r="K171" s="52">
        <f t="shared" si="0"/>
        <v>65490.428205539996</v>
      </c>
      <c r="L171" s="52">
        <f>K171</f>
        <v>65490.428205539996</v>
      </c>
    </row>
    <row r="172" spans="1:12" ht="30" customHeight="1" x14ac:dyDescent="0.2">
      <c r="A172" s="27" t="s">
        <v>2468</v>
      </c>
      <c r="B172" s="27" t="s">
        <v>2244</v>
      </c>
      <c r="C172" s="27"/>
      <c r="D172" s="31">
        <f t="shared" ref="D172:D178" si="56">D171+0.833</f>
        <v>0.83299999999999996</v>
      </c>
      <c r="E172" s="52">
        <f t="shared" si="55"/>
        <v>25543.8</v>
      </c>
      <c r="F172" s="31">
        <v>1.2</v>
      </c>
      <c r="G172" s="31">
        <v>1.22</v>
      </c>
      <c r="H172" s="31">
        <v>1.25</v>
      </c>
      <c r="I172" s="31">
        <v>1.3</v>
      </c>
      <c r="J172" s="31">
        <v>1.0777000000000001</v>
      </c>
      <c r="K172" s="52">
        <f t="shared" si="0"/>
        <v>65490.428205539996</v>
      </c>
      <c r="L172" s="52">
        <f t="shared" ref="L172:L194" si="57">K172+L171</f>
        <v>130980.85641107999</v>
      </c>
    </row>
    <row r="173" spans="1:12" ht="30" customHeight="1" x14ac:dyDescent="0.2">
      <c r="A173" s="27" t="s">
        <v>2469</v>
      </c>
      <c r="B173" s="27" t="s">
        <v>2246</v>
      </c>
      <c r="C173" s="27"/>
      <c r="D173" s="31">
        <f t="shared" si="56"/>
        <v>1.6659999999999999</v>
      </c>
      <c r="E173" s="52">
        <f t="shared" si="55"/>
        <v>25543.8</v>
      </c>
      <c r="F173" s="31">
        <v>1.2</v>
      </c>
      <c r="G173" s="31">
        <v>1.22</v>
      </c>
      <c r="H173" s="31">
        <v>1.25</v>
      </c>
      <c r="I173" s="31">
        <v>1.3</v>
      </c>
      <c r="J173" s="31">
        <v>1.0777000000000001</v>
      </c>
      <c r="K173" s="52">
        <f t="shared" si="0"/>
        <v>65490.428205539996</v>
      </c>
      <c r="L173" s="52">
        <f t="shared" si="57"/>
        <v>196471.28461661999</v>
      </c>
    </row>
    <row r="174" spans="1:12" ht="30" customHeight="1" x14ac:dyDescent="0.2">
      <c r="A174" s="27" t="s">
        <v>2470</v>
      </c>
      <c r="B174" s="27" t="s">
        <v>2248</v>
      </c>
      <c r="C174" s="27"/>
      <c r="D174" s="31">
        <f t="shared" si="56"/>
        <v>2.4989999999999997</v>
      </c>
      <c r="E174" s="52">
        <f t="shared" si="55"/>
        <v>25543.8</v>
      </c>
      <c r="F174" s="31">
        <v>1.2</v>
      </c>
      <c r="G174" s="31">
        <v>1.22</v>
      </c>
      <c r="H174" s="31">
        <v>1.25</v>
      </c>
      <c r="I174" s="31">
        <v>1.3</v>
      </c>
      <c r="J174" s="31">
        <v>1.0777000000000001</v>
      </c>
      <c r="K174" s="52">
        <f t="shared" si="0"/>
        <v>65490.428205539996</v>
      </c>
      <c r="L174" s="52">
        <f t="shared" si="57"/>
        <v>261961.71282215999</v>
      </c>
    </row>
    <row r="175" spans="1:12" ht="30" customHeight="1" x14ac:dyDescent="0.2">
      <c r="A175" s="27" t="s">
        <v>2471</v>
      </c>
      <c r="B175" s="27" t="s">
        <v>2250</v>
      </c>
      <c r="C175" s="27"/>
      <c r="D175" s="31">
        <f t="shared" si="56"/>
        <v>3.3319999999999999</v>
      </c>
      <c r="E175" s="52">
        <f t="shared" si="55"/>
        <v>25543.8</v>
      </c>
      <c r="F175" s="31">
        <v>1.2</v>
      </c>
      <c r="G175" s="31">
        <v>1.22</v>
      </c>
      <c r="H175" s="31">
        <v>1.25</v>
      </c>
      <c r="I175" s="31">
        <v>1.3</v>
      </c>
      <c r="J175" s="31">
        <v>1.0777000000000001</v>
      </c>
      <c r="K175" s="52">
        <f t="shared" si="0"/>
        <v>65490.428205539996</v>
      </c>
      <c r="L175" s="52">
        <f t="shared" si="57"/>
        <v>327452.14102769998</v>
      </c>
    </row>
    <row r="176" spans="1:12" ht="30" customHeight="1" x14ac:dyDescent="0.2">
      <c r="A176" s="27" t="s">
        <v>2472</v>
      </c>
      <c r="B176" s="27" t="s">
        <v>2291</v>
      </c>
      <c r="C176" s="27"/>
      <c r="D176" s="31">
        <f t="shared" si="56"/>
        <v>4.165</v>
      </c>
      <c r="E176" s="52">
        <f t="shared" si="55"/>
        <v>25543.8</v>
      </c>
      <c r="F176" s="31">
        <v>1.2</v>
      </c>
      <c r="G176" s="31">
        <v>1.22</v>
      </c>
      <c r="H176" s="31">
        <v>1.25</v>
      </c>
      <c r="I176" s="31">
        <v>1.3</v>
      </c>
      <c r="J176" s="31">
        <v>1.0777000000000001</v>
      </c>
      <c r="K176" s="52">
        <f t="shared" si="0"/>
        <v>65490.428205539996</v>
      </c>
      <c r="L176" s="52">
        <f t="shared" si="57"/>
        <v>392942.56923323998</v>
      </c>
    </row>
    <row r="177" spans="1:12" ht="30" customHeight="1" x14ac:dyDescent="0.2">
      <c r="A177" s="27" t="s">
        <v>2473</v>
      </c>
      <c r="B177" s="27" t="s">
        <v>2254</v>
      </c>
      <c r="C177" s="27"/>
      <c r="D177" s="31">
        <f t="shared" si="56"/>
        <v>4.9980000000000002</v>
      </c>
      <c r="E177" s="52">
        <f t="shared" si="55"/>
        <v>25543.8</v>
      </c>
      <c r="F177" s="31">
        <v>1.2</v>
      </c>
      <c r="G177" s="31">
        <v>1.22</v>
      </c>
      <c r="H177" s="31">
        <v>1.25</v>
      </c>
      <c r="I177" s="31">
        <v>1.3</v>
      </c>
      <c r="J177" s="31">
        <v>1.0777000000000001</v>
      </c>
      <c r="K177" s="52">
        <f t="shared" si="0"/>
        <v>65490.428205539996</v>
      </c>
      <c r="L177" s="52">
        <f t="shared" si="57"/>
        <v>458432.99743877997</v>
      </c>
    </row>
    <row r="178" spans="1:12" ht="30" customHeight="1" x14ac:dyDescent="0.2">
      <c r="A178" s="27" t="s">
        <v>2474</v>
      </c>
      <c r="B178" s="27" t="s">
        <v>2256</v>
      </c>
      <c r="C178" s="27"/>
      <c r="D178" s="31">
        <f t="shared" si="56"/>
        <v>5.8310000000000004</v>
      </c>
      <c r="E178" s="52">
        <f t="shared" si="55"/>
        <v>25543.8</v>
      </c>
      <c r="F178" s="31">
        <v>1.2</v>
      </c>
      <c r="G178" s="31">
        <v>1.22</v>
      </c>
      <c r="H178" s="31">
        <v>1.25</v>
      </c>
      <c r="I178" s="31">
        <v>1.3</v>
      </c>
      <c r="J178" s="31">
        <v>1.0777000000000001</v>
      </c>
      <c r="K178" s="52">
        <f t="shared" si="0"/>
        <v>65490.428205539996</v>
      </c>
      <c r="L178" s="52">
        <f t="shared" si="57"/>
        <v>523923.42564431997</v>
      </c>
    </row>
    <row r="179" spans="1:12" ht="30" customHeight="1" x14ac:dyDescent="0.2">
      <c r="A179" s="27" t="s">
        <v>2475</v>
      </c>
      <c r="B179" s="27" t="s">
        <v>2258</v>
      </c>
      <c r="C179" s="27"/>
      <c r="D179" s="31">
        <f>D178+0.916</f>
        <v>6.7470000000000008</v>
      </c>
      <c r="E179" s="52">
        <f t="shared" si="55"/>
        <v>25543.8</v>
      </c>
      <c r="F179" s="31">
        <v>1.2</v>
      </c>
      <c r="G179" s="31">
        <v>1.22</v>
      </c>
      <c r="H179" s="31">
        <v>1.25</v>
      </c>
      <c r="I179" s="31">
        <v>1.3</v>
      </c>
      <c r="J179" s="31">
        <v>1.0777000000000001</v>
      </c>
      <c r="K179" s="52">
        <f t="shared" si="0"/>
        <v>65490.428205539996</v>
      </c>
      <c r="L179" s="52">
        <f t="shared" si="57"/>
        <v>589413.85384985991</v>
      </c>
    </row>
    <row r="180" spans="1:12" ht="30" customHeight="1" x14ac:dyDescent="0.2">
      <c r="A180" s="27" t="s">
        <v>2476</v>
      </c>
      <c r="B180" s="27" t="s">
        <v>2260</v>
      </c>
      <c r="C180" s="27"/>
      <c r="D180" s="31">
        <f t="shared" ref="D180:D182" si="58">D179+0.833</f>
        <v>7.580000000000001</v>
      </c>
      <c r="E180" s="52">
        <f t="shared" si="55"/>
        <v>25543.8</v>
      </c>
      <c r="F180" s="31">
        <v>1.2</v>
      </c>
      <c r="G180" s="31">
        <v>1.22</v>
      </c>
      <c r="H180" s="31">
        <v>1.25</v>
      </c>
      <c r="I180" s="31">
        <v>1.3</v>
      </c>
      <c r="J180" s="31">
        <v>1.0777000000000001</v>
      </c>
      <c r="K180" s="52">
        <f t="shared" si="0"/>
        <v>65490.428205539996</v>
      </c>
      <c r="L180" s="52">
        <f t="shared" si="57"/>
        <v>654904.28205539985</v>
      </c>
    </row>
    <row r="181" spans="1:12" ht="30" customHeight="1" x14ac:dyDescent="0.2">
      <c r="A181" s="27" t="s">
        <v>2477</v>
      </c>
      <c r="B181" s="27" t="s">
        <v>2297</v>
      </c>
      <c r="C181" s="27"/>
      <c r="D181" s="31">
        <f t="shared" si="58"/>
        <v>8.4130000000000003</v>
      </c>
      <c r="E181" s="52">
        <f t="shared" si="55"/>
        <v>25543.8</v>
      </c>
      <c r="F181" s="31">
        <v>1.2</v>
      </c>
      <c r="G181" s="31">
        <v>1.22</v>
      </c>
      <c r="H181" s="31">
        <v>1.25</v>
      </c>
      <c r="I181" s="31">
        <v>1.3</v>
      </c>
      <c r="J181" s="31">
        <v>1.0777000000000001</v>
      </c>
      <c r="K181" s="52">
        <f t="shared" si="0"/>
        <v>65490.428205539996</v>
      </c>
      <c r="L181" s="52">
        <f t="shared" si="57"/>
        <v>720394.71026093978</v>
      </c>
    </row>
    <row r="182" spans="1:12" ht="30" customHeight="1" x14ac:dyDescent="0.2">
      <c r="A182" s="27" t="s">
        <v>2478</v>
      </c>
      <c r="B182" s="27" t="s">
        <v>2264</v>
      </c>
      <c r="C182" s="27"/>
      <c r="D182" s="31">
        <f t="shared" si="58"/>
        <v>9.2460000000000004</v>
      </c>
      <c r="E182" s="52">
        <f t="shared" si="55"/>
        <v>25543.8</v>
      </c>
      <c r="F182" s="31">
        <v>1.2</v>
      </c>
      <c r="G182" s="31">
        <v>1.22</v>
      </c>
      <c r="H182" s="31">
        <v>1.25</v>
      </c>
      <c r="I182" s="31">
        <v>1.3</v>
      </c>
      <c r="J182" s="31">
        <v>1.0777000000000001</v>
      </c>
      <c r="K182" s="52">
        <f t="shared" si="0"/>
        <v>65490.428205539996</v>
      </c>
      <c r="L182" s="52">
        <f t="shared" si="57"/>
        <v>785885.13846647972</v>
      </c>
    </row>
    <row r="183" spans="1:12" ht="30" customHeight="1" x14ac:dyDescent="0.2">
      <c r="A183" s="27" t="s">
        <v>2479</v>
      </c>
      <c r="B183" s="27" t="s">
        <v>2266</v>
      </c>
      <c r="C183" s="27"/>
      <c r="D183" s="31">
        <f>D182+0.916</f>
        <v>10.162000000000001</v>
      </c>
      <c r="E183" s="52">
        <f t="shared" si="55"/>
        <v>25543.8</v>
      </c>
      <c r="F183" s="31">
        <v>1.2</v>
      </c>
      <c r="G183" s="31">
        <v>1.22</v>
      </c>
      <c r="H183" s="31">
        <v>1.25</v>
      </c>
      <c r="I183" s="31">
        <v>1.3</v>
      </c>
      <c r="J183" s="31">
        <v>1.0777000000000001</v>
      </c>
      <c r="K183" s="52">
        <f t="shared" si="0"/>
        <v>65490.428205539996</v>
      </c>
      <c r="L183" s="52">
        <f t="shared" si="57"/>
        <v>851375.56667201966</v>
      </c>
    </row>
    <row r="184" spans="1:12" ht="30" customHeight="1" x14ac:dyDescent="0.2">
      <c r="A184" s="27" t="s">
        <v>2480</v>
      </c>
      <c r="B184" s="27" t="s">
        <v>2268</v>
      </c>
      <c r="C184" s="27"/>
      <c r="D184" s="31">
        <f t="shared" ref="D184:D186" si="59">D183+0.833</f>
        <v>10.995000000000001</v>
      </c>
      <c r="E184" s="52">
        <f t="shared" si="55"/>
        <v>25543.8</v>
      </c>
      <c r="F184" s="31">
        <v>1.2</v>
      </c>
      <c r="G184" s="31">
        <v>1.22</v>
      </c>
      <c r="H184" s="31">
        <v>1.25</v>
      </c>
      <c r="I184" s="31">
        <v>1.3</v>
      </c>
      <c r="J184" s="31">
        <v>1.0777000000000001</v>
      </c>
      <c r="K184" s="52">
        <f t="shared" si="0"/>
        <v>65490.428205539996</v>
      </c>
      <c r="L184" s="52">
        <f t="shared" si="57"/>
        <v>916865.9948775596</v>
      </c>
    </row>
    <row r="185" spans="1:12" ht="30" customHeight="1" x14ac:dyDescent="0.2">
      <c r="A185" s="27" t="s">
        <v>2481</v>
      </c>
      <c r="B185" s="27" t="s">
        <v>2270</v>
      </c>
      <c r="C185" s="27"/>
      <c r="D185" s="31">
        <f t="shared" si="59"/>
        <v>11.828000000000001</v>
      </c>
      <c r="E185" s="52">
        <f t="shared" si="55"/>
        <v>25543.8</v>
      </c>
      <c r="F185" s="31">
        <v>1.2</v>
      </c>
      <c r="G185" s="31">
        <v>1.22</v>
      </c>
      <c r="H185" s="31">
        <v>1.25</v>
      </c>
      <c r="I185" s="31">
        <v>1.3</v>
      </c>
      <c r="J185" s="31">
        <v>1.0777000000000001</v>
      </c>
      <c r="K185" s="52">
        <f t="shared" si="0"/>
        <v>65490.428205539996</v>
      </c>
      <c r="L185" s="52">
        <f t="shared" si="57"/>
        <v>982356.42308309954</v>
      </c>
    </row>
    <row r="186" spans="1:12" ht="30" customHeight="1" x14ac:dyDescent="0.2">
      <c r="A186" s="27" t="s">
        <v>2482</v>
      </c>
      <c r="B186" s="27" t="s">
        <v>2303</v>
      </c>
      <c r="C186" s="27"/>
      <c r="D186" s="31">
        <f t="shared" si="59"/>
        <v>12.661000000000001</v>
      </c>
      <c r="E186" s="52">
        <f t="shared" si="55"/>
        <v>25543.8</v>
      </c>
      <c r="F186" s="31">
        <v>1.2</v>
      </c>
      <c r="G186" s="31">
        <v>1.22</v>
      </c>
      <c r="H186" s="31">
        <v>1.25</v>
      </c>
      <c r="I186" s="31">
        <v>1.3</v>
      </c>
      <c r="J186" s="31">
        <v>1.0777000000000001</v>
      </c>
      <c r="K186" s="52">
        <f t="shared" si="0"/>
        <v>65490.428205539996</v>
      </c>
      <c r="L186" s="52">
        <f t="shared" si="57"/>
        <v>1047846.8512886395</v>
      </c>
    </row>
    <row r="187" spans="1:12" ht="30" customHeight="1" x14ac:dyDescent="0.2">
      <c r="A187" s="27" t="s">
        <v>2483</v>
      </c>
      <c r="B187" s="27" t="s">
        <v>2274</v>
      </c>
      <c r="C187" s="27"/>
      <c r="D187" s="31">
        <f>D186+0.916</f>
        <v>13.577000000000002</v>
      </c>
      <c r="E187" s="52">
        <f t="shared" si="55"/>
        <v>25543.8</v>
      </c>
      <c r="F187" s="31">
        <v>1.2</v>
      </c>
      <c r="G187" s="31">
        <v>1.22</v>
      </c>
      <c r="H187" s="31">
        <v>1.25</v>
      </c>
      <c r="I187" s="31">
        <v>1.3</v>
      </c>
      <c r="J187" s="31">
        <v>1.0777000000000001</v>
      </c>
      <c r="K187" s="52">
        <f t="shared" si="0"/>
        <v>65490.428205539996</v>
      </c>
      <c r="L187" s="52">
        <f t="shared" si="57"/>
        <v>1113337.2794941794</v>
      </c>
    </row>
    <row r="188" spans="1:12" ht="30" customHeight="1" x14ac:dyDescent="0.2">
      <c r="A188" s="27" t="s">
        <v>2484</v>
      </c>
      <c r="B188" s="27" t="s">
        <v>2276</v>
      </c>
      <c r="C188" s="27"/>
      <c r="D188" s="31">
        <f t="shared" ref="D188:D190" si="60">D187+0.833</f>
        <v>14.410000000000002</v>
      </c>
      <c r="E188" s="52">
        <f t="shared" si="55"/>
        <v>25543.8</v>
      </c>
      <c r="F188" s="31">
        <v>1.2</v>
      </c>
      <c r="G188" s="31">
        <v>1.22</v>
      </c>
      <c r="H188" s="31">
        <v>1.25</v>
      </c>
      <c r="I188" s="31">
        <v>1.3</v>
      </c>
      <c r="J188" s="31">
        <v>1.0777000000000001</v>
      </c>
      <c r="K188" s="52">
        <f t="shared" si="0"/>
        <v>65490.428205539996</v>
      </c>
      <c r="L188" s="52">
        <f t="shared" si="57"/>
        <v>1178827.7076997194</v>
      </c>
    </row>
    <row r="189" spans="1:12" ht="30" customHeight="1" x14ac:dyDescent="0.2">
      <c r="A189" s="27" t="s">
        <v>2485</v>
      </c>
      <c r="B189" s="27" t="s">
        <v>2278</v>
      </c>
      <c r="C189" s="27"/>
      <c r="D189" s="31">
        <f t="shared" si="60"/>
        <v>15.243000000000002</v>
      </c>
      <c r="E189" s="52">
        <f t="shared" si="55"/>
        <v>25543.8</v>
      </c>
      <c r="F189" s="31">
        <v>1.2</v>
      </c>
      <c r="G189" s="31">
        <v>1.22</v>
      </c>
      <c r="H189" s="31">
        <v>1.25</v>
      </c>
      <c r="I189" s="31">
        <v>1.3</v>
      </c>
      <c r="J189" s="31">
        <v>1.0777000000000001</v>
      </c>
      <c r="K189" s="52">
        <f t="shared" si="0"/>
        <v>65490.428205539996</v>
      </c>
      <c r="L189" s="52">
        <f t="shared" si="57"/>
        <v>1244318.1359052593</v>
      </c>
    </row>
    <row r="190" spans="1:12" ht="30" customHeight="1" x14ac:dyDescent="0.2">
      <c r="A190" s="27" t="s">
        <v>2486</v>
      </c>
      <c r="B190" s="27" t="s">
        <v>2280</v>
      </c>
      <c r="C190" s="27"/>
      <c r="D190" s="31">
        <f t="shared" si="60"/>
        <v>16.076000000000001</v>
      </c>
      <c r="E190" s="52">
        <f t="shared" si="55"/>
        <v>25543.8</v>
      </c>
      <c r="F190" s="31">
        <v>1.2</v>
      </c>
      <c r="G190" s="31">
        <v>1.22</v>
      </c>
      <c r="H190" s="31">
        <v>1.25</v>
      </c>
      <c r="I190" s="31">
        <v>1.3</v>
      </c>
      <c r="J190" s="31">
        <v>1.0777000000000001</v>
      </c>
      <c r="K190" s="52">
        <f t="shared" si="0"/>
        <v>65490.428205539996</v>
      </c>
      <c r="L190" s="52">
        <f t="shared" si="57"/>
        <v>1309808.5641107992</v>
      </c>
    </row>
    <row r="191" spans="1:12" ht="30" customHeight="1" x14ac:dyDescent="0.2">
      <c r="A191" s="27" t="s">
        <v>2487</v>
      </c>
      <c r="B191" s="27" t="s">
        <v>2309</v>
      </c>
      <c r="C191" s="27"/>
      <c r="D191" s="31">
        <f>D190+0.916</f>
        <v>16.992000000000001</v>
      </c>
      <c r="E191" s="52">
        <f t="shared" si="55"/>
        <v>25543.8</v>
      </c>
      <c r="F191" s="31">
        <v>1.2</v>
      </c>
      <c r="G191" s="31">
        <v>1.22</v>
      </c>
      <c r="H191" s="31">
        <v>1.25</v>
      </c>
      <c r="I191" s="31">
        <v>1.3</v>
      </c>
      <c r="J191" s="31">
        <v>1.0777000000000001</v>
      </c>
      <c r="K191" s="52">
        <f t="shared" si="0"/>
        <v>65490.428205539996</v>
      </c>
      <c r="L191" s="52">
        <f t="shared" si="57"/>
        <v>1375298.9923163392</v>
      </c>
    </row>
    <row r="192" spans="1:12" ht="30" customHeight="1" x14ac:dyDescent="0.2">
      <c r="A192" s="27" t="s">
        <v>2488</v>
      </c>
      <c r="B192" s="27" t="s">
        <v>2284</v>
      </c>
      <c r="C192" s="27"/>
      <c r="D192" s="31">
        <f t="shared" ref="D192:D194" si="61">D191+0.833</f>
        <v>17.824999999999999</v>
      </c>
      <c r="E192" s="52">
        <f t="shared" si="55"/>
        <v>25543.8</v>
      </c>
      <c r="F192" s="31">
        <v>1.2</v>
      </c>
      <c r="G192" s="31">
        <v>1.22</v>
      </c>
      <c r="H192" s="31">
        <v>1.25</v>
      </c>
      <c r="I192" s="31">
        <v>1.3</v>
      </c>
      <c r="J192" s="31">
        <v>1.0777000000000001</v>
      </c>
      <c r="K192" s="52">
        <f t="shared" si="0"/>
        <v>65490.428205539996</v>
      </c>
      <c r="L192" s="52">
        <f t="shared" si="57"/>
        <v>1440789.4205218791</v>
      </c>
    </row>
    <row r="193" spans="1:12" ht="30" customHeight="1" x14ac:dyDescent="0.2">
      <c r="A193" s="27" t="s">
        <v>2489</v>
      </c>
      <c r="B193" s="27" t="s">
        <v>2424</v>
      </c>
      <c r="C193" s="27"/>
      <c r="D193" s="31">
        <f t="shared" si="61"/>
        <v>18.657999999999998</v>
      </c>
      <c r="E193" s="52">
        <f t="shared" si="55"/>
        <v>25543.8</v>
      </c>
      <c r="F193" s="31">
        <v>1.2</v>
      </c>
      <c r="G193" s="31">
        <v>1.22</v>
      </c>
      <c r="H193" s="31">
        <v>1.25</v>
      </c>
      <c r="I193" s="31">
        <v>1.3</v>
      </c>
      <c r="J193" s="31">
        <v>1.0777000000000001</v>
      </c>
      <c r="K193" s="52">
        <f t="shared" si="0"/>
        <v>65490.428205539996</v>
      </c>
      <c r="L193" s="52">
        <f t="shared" si="57"/>
        <v>1506279.848727419</v>
      </c>
    </row>
    <row r="194" spans="1:12" ht="30" customHeight="1" x14ac:dyDescent="0.2">
      <c r="A194" s="27" t="s">
        <v>2490</v>
      </c>
      <c r="B194" s="27" t="s">
        <v>2491</v>
      </c>
      <c r="C194" s="27"/>
      <c r="D194" s="31">
        <f t="shared" si="61"/>
        <v>19.490999999999996</v>
      </c>
      <c r="E194" s="52">
        <f t="shared" si="55"/>
        <v>25543.8</v>
      </c>
      <c r="F194" s="31">
        <v>1.2</v>
      </c>
      <c r="G194" s="31">
        <v>1.22</v>
      </c>
      <c r="H194" s="31">
        <v>1.25</v>
      </c>
      <c r="I194" s="31">
        <v>1.3</v>
      </c>
      <c r="J194" s="31">
        <v>1.0777000000000001</v>
      </c>
      <c r="K194" s="52">
        <f t="shared" si="0"/>
        <v>65490.428205539996</v>
      </c>
      <c r="L194" s="52">
        <f t="shared" si="57"/>
        <v>1571770.276932959</v>
      </c>
    </row>
    <row r="195" spans="1:12" ht="30" customHeight="1" x14ac:dyDescent="0.2">
      <c r="A195" s="27" t="s">
        <v>2492</v>
      </c>
      <c r="B195" s="27" t="s">
        <v>2242</v>
      </c>
      <c r="C195" s="27"/>
      <c r="D195" s="31">
        <v>0.3</v>
      </c>
      <c r="E195" s="52">
        <v>95924</v>
      </c>
      <c r="F195" s="31">
        <v>0.75</v>
      </c>
      <c r="G195" s="31">
        <v>1.22</v>
      </c>
      <c r="H195" s="31">
        <v>1.25</v>
      </c>
      <c r="I195" s="31">
        <v>1.3</v>
      </c>
      <c r="J195" s="31">
        <v>1.0777000000000001</v>
      </c>
      <c r="K195" s="52">
        <f t="shared" si="0"/>
        <v>153709.11520574999</v>
      </c>
      <c r="L195" s="52">
        <f>K195</f>
        <v>153709.11520574999</v>
      </c>
    </row>
    <row r="196" spans="1:12" ht="30" customHeight="1" x14ac:dyDescent="0.2">
      <c r="A196" s="27" t="s">
        <v>2493</v>
      </c>
      <c r="B196" s="27" t="s">
        <v>2244</v>
      </c>
      <c r="C196" s="27"/>
      <c r="D196" s="31">
        <f t="shared" ref="D196:D201" si="62">D195+0.8</f>
        <v>1.1000000000000001</v>
      </c>
      <c r="E196" s="52">
        <v>95924</v>
      </c>
      <c r="F196" s="31">
        <f t="shared" ref="F196:F209" si="63">0.75*1.15</f>
        <v>0.86249999999999993</v>
      </c>
      <c r="G196" s="31">
        <v>1.22</v>
      </c>
      <c r="H196" s="31">
        <v>1.25</v>
      </c>
      <c r="I196" s="31">
        <v>1.3</v>
      </c>
      <c r="J196" s="31">
        <v>1.0777000000000001</v>
      </c>
      <c r="K196" s="52">
        <f t="shared" si="0"/>
        <v>176765.48248661251</v>
      </c>
      <c r="L196" s="52">
        <f t="shared" ref="L196:L209" si="64">K196+L195</f>
        <v>330474.5976923625</v>
      </c>
    </row>
    <row r="197" spans="1:12" ht="30" customHeight="1" x14ac:dyDescent="0.2">
      <c r="A197" s="27" t="s">
        <v>2494</v>
      </c>
      <c r="B197" s="27" t="s">
        <v>2246</v>
      </c>
      <c r="C197" s="27"/>
      <c r="D197" s="31">
        <f t="shared" si="62"/>
        <v>1.9000000000000001</v>
      </c>
      <c r="E197" s="52">
        <v>95924</v>
      </c>
      <c r="F197" s="31">
        <f t="shared" si="63"/>
        <v>0.86249999999999993</v>
      </c>
      <c r="G197" s="31">
        <v>1.22</v>
      </c>
      <c r="H197" s="31">
        <v>1.25</v>
      </c>
      <c r="I197" s="31">
        <v>1.3</v>
      </c>
      <c r="J197" s="31">
        <v>1.0777000000000001</v>
      </c>
      <c r="K197" s="52">
        <f t="shared" si="0"/>
        <v>176765.48248661251</v>
      </c>
      <c r="L197" s="52">
        <f t="shared" si="64"/>
        <v>507240.08017897501</v>
      </c>
    </row>
    <row r="198" spans="1:12" ht="30" customHeight="1" x14ac:dyDescent="0.2">
      <c r="A198" s="27" t="s">
        <v>2495</v>
      </c>
      <c r="B198" s="27" t="s">
        <v>2248</v>
      </c>
      <c r="C198" s="27"/>
      <c r="D198" s="31">
        <f t="shared" si="62"/>
        <v>2.7</v>
      </c>
      <c r="E198" s="52">
        <v>95924</v>
      </c>
      <c r="F198" s="31">
        <f t="shared" si="63"/>
        <v>0.86249999999999993</v>
      </c>
      <c r="G198" s="31">
        <v>1.22</v>
      </c>
      <c r="H198" s="31">
        <v>1.25</v>
      </c>
      <c r="I198" s="31">
        <v>1.3</v>
      </c>
      <c r="J198" s="31">
        <v>1.0777000000000001</v>
      </c>
      <c r="K198" s="52">
        <f t="shared" si="0"/>
        <v>176765.48248661251</v>
      </c>
      <c r="L198" s="52">
        <f t="shared" si="64"/>
        <v>684005.56266558752</v>
      </c>
    </row>
    <row r="199" spans="1:12" ht="30" customHeight="1" x14ac:dyDescent="0.2">
      <c r="A199" s="27" t="s">
        <v>2496</v>
      </c>
      <c r="B199" s="27" t="s">
        <v>2250</v>
      </c>
      <c r="C199" s="27"/>
      <c r="D199" s="31">
        <f t="shared" si="62"/>
        <v>3.5</v>
      </c>
      <c r="E199" s="52">
        <v>95924</v>
      </c>
      <c r="F199" s="31">
        <f t="shared" si="63"/>
        <v>0.86249999999999993</v>
      </c>
      <c r="G199" s="31">
        <v>1.22</v>
      </c>
      <c r="H199" s="31">
        <v>1.25</v>
      </c>
      <c r="I199" s="31">
        <v>1.3</v>
      </c>
      <c r="J199" s="31">
        <v>1.0777000000000001</v>
      </c>
      <c r="K199" s="52">
        <f t="shared" si="0"/>
        <v>176765.48248661251</v>
      </c>
      <c r="L199" s="52">
        <f t="shared" si="64"/>
        <v>860771.04515220004</v>
      </c>
    </row>
    <row r="200" spans="1:12" ht="30" customHeight="1" x14ac:dyDescent="0.2">
      <c r="A200" s="27" t="s">
        <v>2497</v>
      </c>
      <c r="B200" s="27" t="s">
        <v>2291</v>
      </c>
      <c r="C200" s="27"/>
      <c r="D200" s="31">
        <f t="shared" si="62"/>
        <v>4.3</v>
      </c>
      <c r="E200" s="52">
        <v>95924</v>
      </c>
      <c r="F200" s="31">
        <f t="shared" si="63"/>
        <v>0.86249999999999993</v>
      </c>
      <c r="G200" s="31">
        <v>1.22</v>
      </c>
      <c r="H200" s="31">
        <v>1.25</v>
      </c>
      <c r="I200" s="31">
        <v>1.3</v>
      </c>
      <c r="J200" s="31">
        <v>1.0777000000000001</v>
      </c>
      <c r="K200" s="52">
        <f t="shared" si="0"/>
        <v>176765.48248661251</v>
      </c>
      <c r="L200" s="52">
        <f t="shared" si="64"/>
        <v>1037536.5276388125</v>
      </c>
    </row>
    <row r="201" spans="1:12" ht="30" customHeight="1" x14ac:dyDescent="0.2">
      <c r="A201" s="27" t="s">
        <v>2498</v>
      </c>
      <c r="B201" s="27" t="s">
        <v>2254</v>
      </c>
      <c r="C201" s="27"/>
      <c r="D201" s="31">
        <f t="shared" si="62"/>
        <v>5.0999999999999996</v>
      </c>
      <c r="E201" s="52">
        <v>95924</v>
      </c>
      <c r="F201" s="31">
        <f t="shared" si="63"/>
        <v>0.86249999999999993</v>
      </c>
      <c r="G201" s="31">
        <v>1.22</v>
      </c>
      <c r="H201" s="31">
        <v>1.25</v>
      </c>
      <c r="I201" s="31">
        <v>1.3</v>
      </c>
      <c r="J201" s="31">
        <v>1.0777000000000001</v>
      </c>
      <c r="K201" s="52">
        <f t="shared" si="0"/>
        <v>176765.48248661251</v>
      </c>
      <c r="L201" s="52">
        <f t="shared" si="64"/>
        <v>1214302.0101254252</v>
      </c>
    </row>
    <row r="202" spans="1:12" ht="30" customHeight="1" x14ac:dyDescent="0.2">
      <c r="A202" s="27" t="s">
        <v>2499</v>
      </c>
      <c r="B202" s="27" t="s">
        <v>2256</v>
      </c>
      <c r="C202" s="27"/>
      <c r="D202" s="31">
        <f>D201+1.317</f>
        <v>6.4169999999999998</v>
      </c>
      <c r="E202" s="52">
        <v>95924</v>
      </c>
      <c r="F202" s="31">
        <f t="shared" si="63"/>
        <v>0.86249999999999993</v>
      </c>
      <c r="G202" s="31">
        <v>1.22</v>
      </c>
      <c r="H202" s="31">
        <v>1.25</v>
      </c>
      <c r="I202" s="31">
        <v>1.3</v>
      </c>
      <c r="J202" s="31">
        <v>1.0777000000000001</v>
      </c>
      <c r="K202" s="52">
        <f t="shared" si="0"/>
        <v>176765.48248661251</v>
      </c>
      <c r="L202" s="52">
        <f t="shared" si="64"/>
        <v>1391067.4926120378</v>
      </c>
    </row>
    <row r="203" spans="1:12" ht="30" customHeight="1" x14ac:dyDescent="0.2">
      <c r="A203" s="27" t="s">
        <v>2500</v>
      </c>
      <c r="B203" s="27" t="s">
        <v>2258</v>
      </c>
      <c r="C203" s="27"/>
      <c r="D203" s="31">
        <f>D202+0.8</f>
        <v>7.2169999999999996</v>
      </c>
      <c r="E203" s="52">
        <v>95924</v>
      </c>
      <c r="F203" s="31">
        <f t="shared" si="63"/>
        <v>0.86249999999999993</v>
      </c>
      <c r="G203" s="31">
        <v>1.22</v>
      </c>
      <c r="H203" s="31">
        <v>1.25</v>
      </c>
      <c r="I203" s="31">
        <v>1.3</v>
      </c>
      <c r="J203" s="31">
        <v>1.0777000000000001</v>
      </c>
      <c r="K203" s="52">
        <f t="shared" si="0"/>
        <v>176765.48248661251</v>
      </c>
      <c r="L203" s="52">
        <f t="shared" si="64"/>
        <v>1567832.9750986504</v>
      </c>
    </row>
    <row r="204" spans="1:12" ht="30" customHeight="1" x14ac:dyDescent="0.2">
      <c r="A204" s="27" t="s">
        <v>2501</v>
      </c>
      <c r="B204" s="27" t="s">
        <v>2260</v>
      </c>
      <c r="C204" s="27"/>
      <c r="D204" s="31">
        <f>D203+1.317</f>
        <v>8.5339999999999989</v>
      </c>
      <c r="E204" s="52">
        <v>95924</v>
      </c>
      <c r="F204" s="31">
        <f t="shared" si="63"/>
        <v>0.86249999999999993</v>
      </c>
      <c r="G204" s="31">
        <v>1.22</v>
      </c>
      <c r="H204" s="31">
        <v>1.25</v>
      </c>
      <c r="I204" s="31">
        <v>1.3</v>
      </c>
      <c r="J204" s="31">
        <v>1.0777000000000001</v>
      </c>
      <c r="K204" s="52">
        <f t="shared" si="0"/>
        <v>176765.48248661251</v>
      </c>
      <c r="L204" s="52">
        <f t="shared" si="64"/>
        <v>1744598.4575852631</v>
      </c>
    </row>
    <row r="205" spans="1:12" ht="30" customHeight="1" x14ac:dyDescent="0.2">
      <c r="A205" s="27" t="s">
        <v>2502</v>
      </c>
      <c r="B205" s="27" t="s">
        <v>2297</v>
      </c>
      <c r="C205" s="27"/>
      <c r="D205" s="31">
        <f>D204+0.8</f>
        <v>9.3339999999999996</v>
      </c>
      <c r="E205" s="52">
        <v>95924</v>
      </c>
      <c r="F205" s="31">
        <f t="shared" si="63"/>
        <v>0.86249999999999993</v>
      </c>
      <c r="G205" s="31">
        <v>1.22</v>
      </c>
      <c r="H205" s="31">
        <v>1.25</v>
      </c>
      <c r="I205" s="31">
        <v>1.3</v>
      </c>
      <c r="J205" s="31">
        <v>1.0777000000000001</v>
      </c>
      <c r="K205" s="52">
        <f t="shared" si="0"/>
        <v>176765.48248661251</v>
      </c>
      <c r="L205" s="52">
        <f t="shared" si="64"/>
        <v>1921363.9400718757</v>
      </c>
    </row>
    <row r="206" spans="1:12" ht="30" customHeight="1" x14ac:dyDescent="0.2">
      <c r="A206" s="27" t="s">
        <v>2503</v>
      </c>
      <c r="B206" s="27" t="s">
        <v>2264</v>
      </c>
      <c r="C206" s="27"/>
      <c r="D206" s="31">
        <f>D205+1.317</f>
        <v>10.651</v>
      </c>
      <c r="E206" s="52">
        <v>95924</v>
      </c>
      <c r="F206" s="31">
        <f t="shared" si="63"/>
        <v>0.86249999999999993</v>
      </c>
      <c r="G206" s="31">
        <v>1.22</v>
      </c>
      <c r="H206" s="31">
        <v>1.25</v>
      </c>
      <c r="I206" s="31">
        <v>1.3</v>
      </c>
      <c r="J206" s="31">
        <v>1.0777000000000001</v>
      </c>
      <c r="K206" s="52">
        <f t="shared" si="0"/>
        <v>176765.48248661251</v>
      </c>
      <c r="L206" s="52">
        <f t="shared" si="64"/>
        <v>2098129.4225584883</v>
      </c>
    </row>
    <row r="207" spans="1:12" ht="30" customHeight="1" x14ac:dyDescent="0.2">
      <c r="A207" s="27" t="s">
        <v>2504</v>
      </c>
      <c r="B207" s="27" t="s">
        <v>2266</v>
      </c>
      <c r="C207" s="27"/>
      <c r="D207" s="31">
        <f>D206+0.8</f>
        <v>11.451000000000001</v>
      </c>
      <c r="E207" s="52">
        <v>95924</v>
      </c>
      <c r="F207" s="31">
        <f t="shared" si="63"/>
        <v>0.86249999999999993</v>
      </c>
      <c r="G207" s="31">
        <v>1.22</v>
      </c>
      <c r="H207" s="31">
        <v>1.25</v>
      </c>
      <c r="I207" s="31">
        <v>1.3</v>
      </c>
      <c r="J207" s="31">
        <v>1.0777000000000001</v>
      </c>
      <c r="K207" s="52">
        <f t="shared" si="0"/>
        <v>176765.48248661251</v>
      </c>
      <c r="L207" s="52">
        <f t="shared" si="64"/>
        <v>2274894.905045101</v>
      </c>
    </row>
    <row r="208" spans="1:12" ht="30" customHeight="1" x14ac:dyDescent="0.2">
      <c r="A208" s="27" t="s">
        <v>2505</v>
      </c>
      <c r="B208" s="27" t="s">
        <v>2268</v>
      </c>
      <c r="C208" s="27"/>
      <c r="D208" s="31">
        <f>D207+1.317</f>
        <v>12.768000000000001</v>
      </c>
      <c r="E208" s="52">
        <v>95924</v>
      </c>
      <c r="F208" s="31">
        <f t="shared" si="63"/>
        <v>0.86249999999999993</v>
      </c>
      <c r="G208" s="31">
        <v>1.22</v>
      </c>
      <c r="H208" s="31">
        <v>1.25</v>
      </c>
      <c r="I208" s="31">
        <v>1.3</v>
      </c>
      <c r="J208" s="31">
        <v>1.0777000000000001</v>
      </c>
      <c r="K208" s="52">
        <f t="shared" si="0"/>
        <v>176765.48248661251</v>
      </c>
      <c r="L208" s="52">
        <f t="shared" si="64"/>
        <v>2451660.3875317136</v>
      </c>
    </row>
    <row r="209" spans="1:12" ht="30" customHeight="1" x14ac:dyDescent="0.2">
      <c r="A209" s="27" t="s">
        <v>2506</v>
      </c>
      <c r="B209" s="27" t="s">
        <v>2270</v>
      </c>
      <c r="C209" s="27"/>
      <c r="D209" s="31">
        <f>D208+0.8</f>
        <v>13.568000000000001</v>
      </c>
      <c r="E209" s="52">
        <v>95924</v>
      </c>
      <c r="F209" s="31">
        <f t="shared" si="63"/>
        <v>0.86249999999999993</v>
      </c>
      <c r="G209" s="31">
        <v>1.22</v>
      </c>
      <c r="H209" s="31">
        <v>1.25</v>
      </c>
      <c r="I209" s="31">
        <v>1.3</v>
      </c>
      <c r="J209" s="31">
        <v>1.0777000000000001</v>
      </c>
      <c r="K209" s="52">
        <f t="shared" si="0"/>
        <v>176765.48248661251</v>
      </c>
      <c r="L209" s="52">
        <f t="shared" si="64"/>
        <v>2628425.8700183262</v>
      </c>
    </row>
    <row r="210" spans="1:12" ht="30" customHeight="1" x14ac:dyDescent="0.2">
      <c r="A210" s="27" t="s">
        <v>2507</v>
      </c>
      <c r="B210" s="27" t="s">
        <v>2242</v>
      </c>
      <c r="C210" s="27"/>
      <c r="D210" s="31">
        <v>0.3</v>
      </c>
      <c r="E210" s="52">
        <v>95924</v>
      </c>
      <c r="F210" s="31">
        <f t="shared" ref="F210:F218" si="65">1.289*1.15</f>
        <v>1.4823499999999998</v>
      </c>
      <c r="G210" s="31">
        <v>1.22</v>
      </c>
      <c r="H210" s="31">
        <v>1.25</v>
      </c>
      <c r="I210" s="31">
        <v>1.3</v>
      </c>
      <c r="J210" s="31">
        <v>1.0777000000000001</v>
      </c>
      <c r="K210" s="52">
        <f t="shared" si="0"/>
        <v>303800.94256699132</v>
      </c>
      <c r="L210" s="52">
        <f>K210</f>
        <v>303800.94256699132</v>
      </c>
    </row>
    <row r="211" spans="1:12" ht="30" customHeight="1" x14ac:dyDescent="0.2">
      <c r="A211" s="27" t="s">
        <v>2508</v>
      </c>
      <c r="B211" s="27" t="s">
        <v>2244</v>
      </c>
      <c r="C211" s="27"/>
      <c r="D211" s="31">
        <f t="shared" ref="D211:D213" si="66">D210+1.1</f>
        <v>1.4000000000000001</v>
      </c>
      <c r="E211" s="52">
        <v>95924</v>
      </c>
      <c r="F211" s="31">
        <f t="shared" si="65"/>
        <v>1.4823499999999998</v>
      </c>
      <c r="G211" s="31">
        <v>1.22</v>
      </c>
      <c r="H211" s="31">
        <v>1.25</v>
      </c>
      <c r="I211" s="31">
        <v>1.3</v>
      </c>
      <c r="J211" s="31">
        <v>1.0777000000000001</v>
      </c>
      <c r="K211" s="52">
        <f t="shared" si="0"/>
        <v>303800.94256699132</v>
      </c>
      <c r="L211" s="52">
        <f t="shared" ref="L211:L219" si="67">K211+L210</f>
        <v>607601.88513398264</v>
      </c>
    </row>
    <row r="212" spans="1:12" ht="30" customHeight="1" x14ac:dyDescent="0.2">
      <c r="A212" s="27" t="s">
        <v>2509</v>
      </c>
      <c r="B212" s="27" t="s">
        <v>2246</v>
      </c>
      <c r="C212" s="27"/>
      <c r="D212" s="31">
        <f t="shared" si="66"/>
        <v>2.5</v>
      </c>
      <c r="E212" s="52">
        <v>95924</v>
      </c>
      <c r="F212" s="31">
        <f t="shared" si="65"/>
        <v>1.4823499999999998</v>
      </c>
      <c r="G212" s="31">
        <v>1.22</v>
      </c>
      <c r="H212" s="31">
        <v>1.25</v>
      </c>
      <c r="I212" s="31">
        <v>1.3</v>
      </c>
      <c r="J212" s="31">
        <v>1.0777000000000001</v>
      </c>
      <c r="K212" s="52">
        <f t="shared" si="0"/>
        <v>303800.94256699132</v>
      </c>
      <c r="L212" s="52">
        <f t="shared" si="67"/>
        <v>911402.82770097395</v>
      </c>
    </row>
    <row r="213" spans="1:12" ht="30" customHeight="1" x14ac:dyDescent="0.2">
      <c r="A213" s="27" t="s">
        <v>2510</v>
      </c>
      <c r="B213" s="27" t="s">
        <v>2248</v>
      </c>
      <c r="C213" s="27"/>
      <c r="D213" s="31">
        <f t="shared" si="66"/>
        <v>3.6</v>
      </c>
      <c r="E213" s="52">
        <v>95924</v>
      </c>
      <c r="F213" s="31">
        <f t="shared" si="65"/>
        <v>1.4823499999999998</v>
      </c>
      <c r="G213" s="31">
        <v>1.22</v>
      </c>
      <c r="H213" s="31">
        <v>1.25</v>
      </c>
      <c r="I213" s="31">
        <v>1.3</v>
      </c>
      <c r="J213" s="31">
        <v>1.0777000000000001</v>
      </c>
      <c r="K213" s="52">
        <f t="shared" si="0"/>
        <v>303800.94256699132</v>
      </c>
      <c r="L213" s="52">
        <f t="shared" si="67"/>
        <v>1215203.7702679653</v>
      </c>
    </row>
    <row r="214" spans="1:12" ht="30" customHeight="1" x14ac:dyDescent="0.2">
      <c r="A214" s="27" t="s">
        <v>2511</v>
      </c>
      <c r="B214" s="27" t="s">
        <v>2250</v>
      </c>
      <c r="C214" s="27"/>
      <c r="D214" s="31">
        <f t="shared" ref="D214:D219" si="68">D213+1.317</f>
        <v>4.9169999999999998</v>
      </c>
      <c r="E214" s="52">
        <v>95924</v>
      </c>
      <c r="F214" s="31">
        <f t="shared" si="65"/>
        <v>1.4823499999999998</v>
      </c>
      <c r="G214" s="31">
        <v>1.22</v>
      </c>
      <c r="H214" s="31">
        <v>1.25</v>
      </c>
      <c r="I214" s="31">
        <v>1.3</v>
      </c>
      <c r="J214" s="31">
        <v>1.0777000000000001</v>
      </c>
      <c r="K214" s="52">
        <f t="shared" si="0"/>
        <v>303800.94256699132</v>
      </c>
      <c r="L214" s="52">
        <f t="shared" si="67"/>
        <v>1519004.7128349566</v>
      </c>
    </row>
    <row r="215" spans="1:12" ht="30" customHeight="1" x14ac:dyDescent="0.2">
      <c r="A215" s="27" t="s">
        <v>2512</v>
      </c>
      <c r="B215" s="27" t="s">
        <v>2291</v>
      </c>
      <c r="C215" s="27"/>
      <c r="D215" s="31">
        <f t="shared" si="68"/>
        <v>6.234</v>
      </c>
      <c r="E215" s="52">
        <v>95924</v>
      </c>
      <c r="F215" s="31">
        <f t="shared" si="65"/>
        <v>1.4823499999999998</v>
      </c>
      <c r="G215" s="31">
        <v>1.22</v>
      </c>
      <c r="H215" s="31">
        <v>1.25</v>
      </c>
      <c r="I215" s="31">
        <v>1.3</v>
      </c>
      <c r="J215" s="31">
        <v>1.0777000000000001</v>
      </c>
      <c r="K215" s="52">
        <f t="shared" si="0"/>
        <v>303800.94256699132</v>
      </c>
      <c r="L215" s="52">
        <f t="shared" si="67"/>
        <v>1822805.6554019479</v>
      </c>
    </row>
    <row r="216" spans="1:12" ht="30" customHeight="1" x14ac:dyDescent="0.2">
      <c r="A216" s="27" t="s">
        <v>2513</v>
      </c>
      <c r="B216" s="27" t="s">
        <v>2254</v>
      </c>
      <c r="C216" s="27"/>
      <c r="D216" s="31">
        <f t="shared" si="68"/>
        <v>7.5510000000000002</v>
      </c>
      <c r="E216" s="52">
        <v>95924</v>
      </c>
      <c r="F216" s="31">
        <f t="shared" si="65"/>
        <v>1.4823499999999998</v>
      </c>
      <c r="G216" s="31">
        <v>1.22</v>
      </c>
      <c r="H216" s="31">
        <v>1.25</v>
      </c>
      <c r="I216" s="31">
        <v>1.3</v>
      </c>
      <c r="J216" s="31">
        <v>1.0777000000000001</v>
      </c>
      <c r="K216" s="52">
        <f t="shared" si="0"/>
        <v>303800.94256699132</v>
      </c>
      <c r="L216" s="52">
        <f t="shared" si="67"/>
        <v>2126606.5979689392</v>
      </c>
    </row>
    <row r="217" spans="1:12" ht="30" customHeight="1" x14ac:dyDescent="0.2">
      <c r="A217" s="27" t="s">
        <v>2514</v>
      </c>
      <c r="B217" s="27" t="s">
        <v>2256</v>
      </c>
      <c r="C217" s="27"/>
      <c r="D217" s="31">
        <f t="shared" si="68"/>
        <v>8.8680000000000003</v>
      </c>
      <c r="E217" s="52">
        <v>95924</v>
      </c>
      <c r="F217" s="31">
        <f t="shared" si="65"/>
        <v>1.4823499999999998</v>
      </c>
      <c r="G217" s="31">
        <v>1.22</v>
      </c>
      <c r="H217" s="31">
        <v>1.25</v>
      </c>
      <c r="I217" s="31">
        <v>1.3</v>
      </c>
      <c r="J217" s="31">
        <v>1.0777000000000001</v>
      </c>
      <c r="K217" s="52">
        <f t="shared" si="0"/>
        <v>303800.94256699132</v>
      </c>
      <c r="L217" s="52">
        <f t="shared" si="67"/>
        <v>2430407.5405359305</v>
      </c>
    </row>
    <row r="218" spans="1:12" ht="30" customHeight="1" x14ac:dyDescent="0.2">
      <c r="A218" s="27" t="s">
        <v>2515</v>
      </c>
      <c r="B218" s="27" t="s">
        <v>2258</v>
      </c>
      <c r="C218" s="27"/>
      <c r="D218" s="31">
        <f t="shared" si="68"/>
        <v>10.185</v>
      </c>
      <c r="E218" s="52">
        <v>95924</v>
      </c>
      <c r="F218" s="31">
        <f t="shared" si="65"/>
        <v>1.4823499999999998</v>
      </c>
      <c r="G218" s="31">
        <v>1.22</v>
      </c>
      <c r="H218" s="31">
        <v>1.25</v>
      </c>
      <c r="I218" s="31">
        <v>1.3</v>
      </c>
      <c r="J218" s="31">
        <v>1.0777000000000001</v>
      </c>
      <c r="K218" s="52">
        <f t="shared" si="0"/>
        <v>303800.94256699132</v>
      </c>
      <c r="L218" s="52">
        <f t="shared" si="67"/>
        <v>2734208.4831029219</v>
      </c>
    </row>
    <row r="219" spans="1:12" ht="30" customHeight="1" x14ac:dyDescent="0.2">
      <c r="A219" s="27" t="s">
        <v>2516</v>
      </c>
      <c r="B219" s="27" t="s">
        <v>2260</v>
      </c>
      <c r="C219" s="27"/>
      <c r="D219" s="31">
        <f t="shared" si="68"/>
        <v>11.502000000000001</v>
      </c>
      <c r="E219" s="52">
        <v>95924</v>
      </c>
      <c r="F219" s="31">
        <v>1.1499999999999999</v>
      </c>
      <c r="G219" s="31">
        <v>1.22</v>
      </c>
      <c r="H219" s="31">
        <v>1.25</v>
      </c>
      <c r="I219" s="31">
        <v>1.3</v>
      </c>
      <c r="J219" s="31">
        <v>1.0777000000000001</v>
      </c>
      <c r="K219" s="52">
        <f t="shared" si="0"/>
        <v>235687.30998214998</v>
      </c>
      <c r="L219" s="52">
        <f t="shared" si="67"/>
        <v>2969895.7930850717</v>
      </c>
    </row>
    <row r="220" spans="1:12" ht="30" customHeight="1" x14ac:dyDescent="0.2">
      <c r="A220" s="27" t="s">
        <v>2517</v>
      </c>
      <c r="B220" s="27" t="s">
        <v>2518</v>
      </c>
      <c r="C220" s="27"/>
      <c r="D220" s="31">
        <v>0.13300000000000001</v>
      </c>
      <c r="E220" s="52">
        <v>175002</v>
      </c>
      <c r="F220" s="31"/>
      <c r="G220" s="31">
        <v>1.22</v>
      </c>
      <c r="H220" s="31">
        <v>1.25</v>
      </c>
      <c r="I220" s="31">
        <v>1.3</v>
      </c>
      <c r="J220" s="31"/>
      <c r="K220" s="52">
        <v>0</v>
      </c>
      <c r="L220" s="52">
        <f>K220</f>
        <v>0</v>
      </c>
    </row>
    <row r="221" spans="1:12" ht="30" customHeight="1" x14ac:dyDescent="0.2">
      <c r="A221" s="27" t="s">
        <v>2519</v>
      </c>
      <c r="B221" s="27" t="s">
        <v>2520</v>
      </c>
      <c r="C221" s="27"/>
      <c r="D221" s="31">
        <f t="shared" ref="D221:D230" si="69">D220+10.066</f>
        <v>10.199000000000002</v>
      </c>
      <c r="E221" s="52">
        <v>175002</v>
      </c>
      <c r="F221" s="31"/>
      <c r="G221" s="31">
        <v>1.22</v>
      </c>
      <c r="H221" s="31">
        <v>1.25</v>
      </c>
      <c r="I221" s="31">
        <v>1.3</v>
      </c>
      <c r="J221" s="31"/>
      <c r="K221" s="52">
        <f t="shared" ref="K221:K475" si="70">PRODUCT(E221:J221)</f>
        <v>346941.46500000003</v>
      </c>
      <c r="L221" s="52">
        <f t="shared" ref="L221:L230" si="71">K221+L220</f>
        <v>346941.46500000003</v>
      </c>
    </row>
    <row r="222" spans="1:12" ht="30" customHeight="1" x14ac:dyDescent="0.2">
      <c r="A222" s="27" t="s">
        <v>2521</v>
      </c>
      <c r="B222" s="27" t="s">
        <v>2522</v>
      </c>
      <c r="C222" s="27"/>
      <c r="D222" s="31">
        <f t="shared" si="69"/>
        <v>20.265000000000001</v>
      </c>
      <c r="E222" s="52">
        <v>175002</v>
      </c>
      <c r="F222" s="31"/>
      <c r="G222" s="31">
        <v>1.22</v>
      </c>
      <c r="H222" s="31">
        <v>1.25</v>
      </c>
      <c r="I222" s="31">
        <v>1.3</v>
      </c>
      <c r="J222" s="31"/>
      <c r="K222" s="52">
        <f t="shared" si="70"/>
        <v>346941.46500000003</v>
      </c>
      <c r="L222" s="52">
        <f t="shared" si="71"/>
        <v>693882.93</v>
      </c>
    </row>
    <row r="223" spans="1:12" ht="30" customHeight="1" x14ac:dyDescent="0.2">
      <c r="A223" s="27" t="s">
        <v>2523</v>
      </c>
      <c r="B223" s="27" t="s">
        <v>2524</v>
      </c>
      <c r="C223" s="27"/>
      <c r="D223" s="31">
        <f t="shared" si="69"/>
        <v>30.331000000000003</v>
      </c>
      <c r="E223" s="52">
        <v>175002</v>
      </c>
      <c r="F223" s="31"/>
      <c r="G223" s="31">
        <v>1.22</v>
      </c>
      <c r="H223" s="31">
        <v>1.25</v>
      </c>
      <c r="I223" s="31">
        <v>1.3</v>
      </c>
      <c r="J223" s="31"/>
      <c r="K223" s="52">
        <f t="shared" si="70"/>
        <v>346941.46500000003</v>
      </c>
      <c r="L223" s="52">
        <f t="shared" si="71"/>
        <v>1040824.395</v>
      </c>
    </row>
    <row r="224" spans="1:12" ht="30" customHeight="1" x14ac:dyDescent="0.2">
      <c r="A224" s="27" t="s">
        <v>2525</v>
      </c>
      <c r="B224" s="27" t="s">
        <v>2526</v>
      </c>
      <c r="C224" s="27"/>
      <c r="D224" s="31">
        <f t="shared" si="69"/>
        <v>40.397000000000006</v>
      </c>
      <c r="E224" s="52">
        <v>175002</v>
      </c>
      <c r="F224" s="31"/>
      <c r="G224" s="31">
        <v>1.22</v>
      </c>
      <c r="H224" s="31">
        <v>1.25</v>
      </c>
      <c r="I224" s="31">
        <v>1.3</v>
      </c>
      <c r="J224" s="31"/>
      <c r="K224" s="52">
        <f t="shared" si="70"/>
        <v>346941.46500000003</v>
      </c>
      <c r="L224" s="52">
        <f t="shared" si="71"/>
        <v>1387765.86</v>
      </c>
    </row>
    <row r="225" spans="1:12" ht="30" customHeight="1" x14ac:dyDescent="0.2">
      <c r="A225" s="27" t="s">
        <v>2527</v>
      </c>
      <c r="B225" s="27" t="s">
        <v>2528</v>
      </c>
      <c r="C225" s="27"/>
      <c r="D225" s="31">
        <f t="shared" si="69"/>
        <v>50.463000000000008</v>
      </c>
      <c r="E225" s="52">
        <v>175002</v>
      </c>
      <c r="F225" s="31"/>
      <c r="G225" s="31">
        <v>1.22</v>
      </c>
      <c r="H225" s="31">
        <v>1.25</v>
      </c>
      <c r="I225" s="31">
        <v>1.3</v>
      </c>
      <c r="J225" s="31"/>
      <c r="K225" s="52">
        <f t="shared" si="70"/>
        <v>346941.46500000003</v>
      </c>
      <c r="L225" s="52">
        <f t="shared" si="71"/>
        <v>1734707.3250000002</v>
      </c>
    </row>
    <row r="226" spans="1:12" ht="30" customHeight="1" x14ac:dyDescent="0.2">
      <c r="A226" s="27" t="s">
        <v>2529</v>
      </c>
      <c r="B226" s="27" t="s">
        <v>2530</v>
      </c>
      <c r="C226" s="27"/>
      <c r="D226" s="31">
        <f t="shared" si="69"/>
        <v>60.529000000000011</v>
      </c>
      <c r="E226" s="52">
        <v>175002</v>
      </c>
      <c r="F226" s="31"/>
      <c r="G226" s="31">
        <v>1.22</v>
      </c>
      <c r="H226" s="31">
        <v>1.25</v>
      </c>
      <c r="I226" s="31">
        <v>1.3</v>
      </c>
      <c r="J226" s="31"/>
      <c r="K226" s="52">
        <f t="shared" si="70"/>
        <v>346941.46500000003</v>
      </c>
      <c r="L226" s="52">
        <f t="shared" si="71"/>
        <v>2081648.7900000003</v>
      </c>
    </row>
    <row r="227" spans="1:12" ht="30" customHeight="1" x14ac:dyDescent="0.2">
      <c r="A227" s="27" t="s">
        <v>2531</v>
      </c>
      <c r="B227" s="27" t="s">
        <v>2532</v>
      </c>
      <c r="C227" s="27"/>
      <c r="D227" s="31">
        <f t="shared" si="69"/>
        <v>70.595000000000013</v>
      </c>
      <c r="E227" s="52">
        <v>175002</v>
      </c>
      <c r="F227" s="31"/>
      <c r="G227" s="31">
        <v>1.22</v>
      </c>
      <c r="H227" s="31">
        <v>1.25</v>
      </c>
      <c r="I227" s="31">
        <v>1.3</v>
      </c>
      <c r="J227" s="31"/>
      <c r="K227" s="52">
        <f t="shared" si="70"/>
        <v>346941.46500000003</v>
      </c>
      <c r="L227" s="52">
        <f t="shared" si="71"/>
        <v>2428590.2550000004</v>
      </c>
    </row>
    <row r="228" spans="1:12" ht="30" customHeight="1" x14ac:dyDescent="0.2">
      <c r="A228" s="27" t="s">
        <v>2533</v>
      </c>
      <c r="B228" s="27" t="s">
        <v>2534</v>
      </c>
      <c r="C228" s="27"/>
      <c r="D228" s="31">
        <f t="shared" si="69"/>
        <v>80.661000000000016</v>
      </c>
      <c r="E228" s="52">
        <v>175002</v>
      </c>
      <c r="F228" s="31"/>
      <c r="G228" s="31">
        <v>1.22</v>
      </c>
      <c r="H228" s="31">
        <v>1.25</v>
      </c>
      <c r="I228" s="31">
        <v>1.3</v>
      </c>
      <c r="J228" s="31"/>
      <c r="K228" s="52">
        <f t="shared" si="70"/>
        <v>346941.46500000003</v>
      </c>
      <c r="L228" s="52">
        <f t="shared" si="71"/>
        <v>2775531.72</v>
      </c>
    </row>
    <row r="229" spans="1:12" ht="30" customHeight="1" x14ac:dyDescent="0.2">
      <c r="A229" s="27" t="s">
        <v>2535</v>
      </c>
      <c r="B229" s="27" t="s">
        <v>2536</v>
      </c>
      <c r="C229" s="27"/>
      <c r="D229" s="31">
        <f t="shared" si="69"/>
        <v>90.727000000000018</v>
      </c>
      <c r="E229" s="52">
        <v>175002</v>
      </c>
      <c r="F229" s="31"/>
      <c r="G229" s="31">
        <v>1.22</v>
      </c>
      <c r="H229" s="31">
        <v>1.25</v>
      </c>
      <c r="I229" s="31">
        <v>1.3</v>
      </c>
      <c r="J229" s="31"/>
      <c r="K229" s="52">
        <f t="shared" si="70"/>
        <v>346941.46500000003</v>
      </c>
      <c r="L229" s="52">
        <f t="shared" si="71"/>
        <v>3122473.1850000001</v>
      </c>
    </row>
    <row r="230" spans="1:12" ht="30" customHeight="1" x14ac:dyDescent="0.2">
      <c r="A230" s="27" t="s">
        <v>2537</v>
      </c>
      <c r="B230" s="27" t="s">
        <v>2538</v>
      </c>
      <c r="C230" s="27"/>
      <c r="D230" s="31">
        <f t="shared" si="69"/>
        <v>100.79300000000002</v>
      </c>
      <c r="E230" s="52">
        <f>175002/2</f>
        <v>87501</v>
      </c>
      <c r="F230" s="31"/>
      <c r="G230" s="31">
        <v>1.22</v>
      </c>
      <c r="H230" s="31">
        <v>1.25</v>
      </c>
      <c r="I230" s="31">
        <v>1.3</v>
      </c>
      <c r="J230" s="31"/>
      <c r="K230" s="52">
        <f t="shared" si="70"/>
        <v>173470.73250000001</v>
      </c>
      <c r="L230" s="52">
        <f t="shared" si="71"/>
        <v>3295943.9175</v>
      </c>
    </row>
    <row r="231" spans="1:12" ht="30" customHeight="1" x14ac:dyDescent="0.2">
      <c r="A231" s="27" t="s">
        <v>2539</v>
      </c>
      <c r="B231" s="27" t="s">
        <v>2540</v>
      </c>
      <c r="C231" s="27"/>
      <c r="D231" s="31">
        <v>4.1500000000000004</v>
      </c>
      <c r="E231" s="52">
        <v>169061</v>
      </c>
      <c r="F231" s="31">
        <v>1.4175</v>
      </c>
      <c r="G231" s="31">
        <v>1.22</v>
      </c>
      <c r="H231" s="31">
        <v>1.25</v>
      </c>
      <c r="I231" s="31">
        <v>1.3</v>
      </c>
      <c r="J231" s="31">
        <v>1.0777000000000001</v>
      </c>
      <c r="K231" s="52">
        <f t="shared" si="70"/>
        <v>512008.9822334419</v>
      </c>
      <c r="L231" s="52">
        <f>K231</f>
        <v>512008.9822334419</v>
      </c>
    </row>
    <row r="232" spans="1:12" ht="30" customHeight="1" x14ac:dyDescent="0.2">
      <c r="A232" s="27" t="s">
        <v>2541</v>
      </c>
      <c r="B232" s="27" t="s">
        <v>2542</v>
      </c>
      <c r="C232" s="27"/>
      <c r="D232" s="31">
        <f t="shared" ref="D232:D237" si="72">D231+4.15</f>
        <v>8.3000000000000007</v>
      </c>
      <c r="E232" s="52">
        <v>169061</v>
      </c>
      <c r="F232" s="31">
        <v>1.4175</v>
      </c>
      <c r="G232" s="31">
        <v>1.22</v>
      </c>
      <c r="H232" s="31">
        <v>1.25</v>
      </c>
      <c r="I232" s="31">
        <v>1.3</v>
      </c>
      <c r="J232" s="31">
        <v>1.0777000000000001</v>
      </c>
      <c r="K232" s="52">
        <f t="shared" si="70"/>
        <v>512008.9822334419</v>
      </c>
      <c r="L232" s="52">
        <f t="shared" ref="L232:L238" si="73">K232+L231</f>
        <v>1024017.9644668838</v>
      </c>
    </row>
    <row r="233" spans="1:12" ht="30" customHeight="1" x14ac:dyDescent="0.2">
      <c r="A233" s="27" t="s">
        <v>2543</v>
      </c>
      <c r="B233" s="27" t="s">
        <v>2544</v>
      </c>
      <c r="C233" s="27"/>
      <c r="D233" s="31">
        <f t="shared" si="72"/>
        <v>12.450000000000001</v>
      </c>
      <c r="E233" s="52">
        <v>169061</v>
      </c>
      <c r="F233" s="31">
        <v>1.4175</v>
      </c>
      <c r="G233" s="31">
        <v>1.22</v>
      </c>
      <c r="H233" s="31">
        <v>1.25</v>
      </c>
      <c r="I233" s="31">
        <v>1.3</v>
      </c>
      <c r="J233" s="31">
        <v>1.0777000000000001</v>
      </c>
      <c r="K233" s="52">
        <f t="shared" si="70"/>
        <v>512008.9822334419</v>
      </c>
      <c r="L233" s="52">
        <f t="shared" si="73"/>
        <v>1536026.9467003257</v>
      </c>
    </row>
    <row r="234" spans="1:12" ht="30" customHeight="1" x14ac:dyDescent="0.2">
      <c r="A234" s="27" t="s">
        <v>2545</v>
      </c>
      <c r="B234" s="27" t="s">
        <v>2546</v>
      </c>
      <c r="C234" s="27"/>
      <c r="D234" s="31">
        <f t="shared" si="72"/>
        <v>16.600000000000001</v>
      </c>
      <c r="E234" s="52">
        <v>169061</v>
      </c>
      <c r="F234" s="31">
        <v>1.4175</v>
      </c>
      <c r="G234" s="31">
        <v>1.22</v>
      </c>
      <c r="H234" s="31">
        <v>1.25</v>
      </c>
      <c r="I234" s="31">
        <v>1.3</v>
      </c>
      <c r="J234" s="31">
        <v>1.0777000000000001</v>
      </c>
      <c r="K234" s="52">
        <f t="shared" si="70"/>
        <v>512008.9822334419</v>
      </c>
      <c r="L234" s="52">
        <f t="shared" si="73"/>
        <v>2048035.9289337676</v>
      </c>
    </row>
    <row r="235" spans="1:12" ht="30" customHeight="1" x14ac:dyDescent="0.2">
      <c r="A235" s="27" t="s">
        <v>2547</v>
      </c>
      <c r="B235" s="27" t="s">
        <v>2548</v>
      </c>
      <c r="C235" s="27"/>
      <c r="D235" s="31">
        <f t="shared" si="72"/>
        <v>20.75</v>
      </c>
      <c r="E235" s="52">
        <v>169061</v>
      </c>
      <c r="F235" s="31">
        <v>1.4175</v>
      </c>
      <c r="G235" s="31">
        <v>1.22</v>
      </c>
      <c r="H235" s="31">
        <v>1.25</v>
      </c>
      <c r="I235" s="31">
        <v>1.3</v>
      </c>
      <c r="J235" s="31">
        <v>1.0777000000000001</v>
      </c>
      <c r="K235" s="52">
        <f t="shared" si="70"/>
        <v>512008.9822334419</v>
      </c>
      <c r="L235" s="52">
        <f t="shared" si="73"/>
        <v>2560044.9111672095</v>
      </c>
    </row>
    <row r="236" spans="1:12" ht="30" customHeight="1" x14ac:dyDescent="0.2">
      <c r="A236" s="27" t="s">
        <v>2549</v>
      </c>
      <c r="B236" s="27" t="s">
        <v>2550</v>
      </c>
      <c r="C236" s="27"/>
      <c r="D236" s="31">
        <f t="shared" si="72"/>
        <v>24.9</v>
      </c>
      <c r="E236" s="52">
        <v>169061</v>
      </c>
      <c r="F236" s="31">
        <v>1.4175</v>
      </c>
      <c r="G236" s="31">
        <v>1.22</v>
      </c>
      <c r="H236" s="31">
        <v>1.25</v>
      </c>
      <c r="I236" s="31">
        <v>1.3</v>
      </c>
      <c r="J236" s="31">
        <v>1.0777000000000001</v>
      </c>
      <c r="K236" s="52">
        <f t="shared" si="70"/>
        <v>512008.9822334419</v>
      </c>
      <c r="L236" s="52">
        <f t="shared" si="73"/>
        <v>3072053.8934006514</v>
      </c>
    </row>
    <row r="237" spans="1:12" ht="30" customHeight="1" x14ac:dyDescent="0.2">
      <c r="A237" s="27" t="s">
        <v>2551</v>
      </c>
      <c r="B237" s="27" t="s">
        <v>2552</v>
      </c>
      <c r="C237" s="27"/>
      <c r="D237" s="31">
        <f t="shared" si="72"/>
        <v>29.049999999999997</v>
      </c>
      <c r="E237" s="52">
        <v>169061</v>
      </c>
      <c r="F237" s="31">
        <v>1.4175</v>
      </c>
      <c r="G237" s="31">
        <v>1.22</v>
      </c>
      <c r="H237" s="31">
        <v>1.25</v>
      </c>
      <c r="I237" s="31">
        <v>1.3</v>
      </c>
      <c r="J237" s="31">
        <v>1.0777000000000001</v>
      </c>
      <c r="K237" s="52">
        <f t="shared" si="70"/>
        <v>512008.9822334419</v>
      </c>
      <c r="L237" s="52">
        <f t="shared" si="73"/>
        <v>3584062.8756340933</v>
      </c>
    </row>
    <row r="238" spans="1:12" ht="30" customHeight="1" x14ac:dyDescent="0.2">
      <c r="A238" s="27" t="s">
        <v>2553</v>
      </c>
      <c r="B238" s="27" t="s">
        <v>2554</v>
      </c>
      <c r="C238" s="27"/>
      <c r="D238" s="31">
        <f>D237+0.416</f>
        <v>29.465999999999998</v>
      </c>
      <c r="E238" s="52">
        <v>62771</v>
      </c>
      <c r="F238" s="31">
        <v>1.4175</v>
      </c>
      <c r="G238" s="31">
        <v>1.22</v>
      </c>
      <c r="H238" s="31">
        <v>1.25</v>
      </c>
      <c r="I238" s="31">
        <v>1.3</v>
      </c>
      <c r="J238" s="31">
        <v>1.0777000000000001</v>
      </c>
      <c r="K238" s="52">
        <f t="shared" si="70"/>
        <v>190104.84868642315</v>
      </c>
      <c r="L238" s="52">
        <f t="shared" si="73"/>
        <v>3774167.7243205165</v>
      </c>
    </row>
    <row r="239" spans="1:12" ht="30" customHeight="1" x14ac:dyDescent="0.2">
      <c r="A239" s="27" t="s">
        <v>2555</v>
      </c>
      <c r="B239" s="27" t="s">
        <v>2540</v>
      </c>
      <c r="C239" s="27"/>
      <c r="D239" s="31">
        <v>2.0830000000000002</v>
      </c>
      <c r="E239" s="52">
        <v>98201</v>
      </c>
      <c r="F239" s="31">
        <v>1.4175</v>
      </c>
      <c r="G239" s="31">
        <v>1.22</v>
      </c>
      <c r="H239" s="31">
        <v>1.25</v>
      </c>
      <c r="I239" s="31">
        <v>1.3</v>
      </c>
      <c r="J239" s="31">
        <v>1.0777000000000001</v>
      </c>
      <c r="K239" s="52">
        <f t="shared" si="70"/>
        <v>297406.22653542948</v>
      </c>
      <c r="L239" s="52">
        <f>K239</f>
        <v>297406.22653542948</v>
      </c>
    </row>
    <row r="240" spans="1:12" ht="30" customHeight="1" x14ac:dyDescent="0.2">
      <c r="A240" s="27" t="s">
        <v>2556</v>
      </c>
      <c r="B240" s="27" t="s">
        <v>2542</v>
      </c>
      <c r="C240" s="27"/>
      <c r="D240" s="31">
        <f t="shared" ref="D240:D251" si="74">D239+2.317</f>
        <v>4.4000000000000004</v>
      </c>
      <c r="E240" s="52">
        <v>98201</v>
      </c>
      <c r="F240" s="31">
        <v>1.4175</v>
      </c>
      <c r="G240" s="31">
        <v>1.22</v>
      </c>
      <c r="H240" s="31">
        <v>1.25</v>
      </c>
      <c r="I240" s="31">
        <v>1.3</v>
      </c>
      <c r="J240" s="31">
        <v>1.0777000000000001</v>
      </c>
      <c r="K240" s="52">
        <f t="shared" si="70"/>
        <v>297406.22653542948</v>
      </c>
      <c r="L240" s="52">
        <f t="shared" ref="L240:L251" si="75">K240+L239</f>
        <v>594812.45307085896</v>
      </c>
    </row>
    <row r="241" spans="1:12" ht="30" customHeight="1" x14ac:dyDescent="0.2">
      <c r="A241" s="27" t="s">
        <v>2557</v>
      </c>
      <c r="B241" s="27" t="s">
        <v>2544</v>
      </c>
      <c r="C241" s="27"/>
      <c r="D241" s="31">
        <f t="shared" si="74"/>
        <v>6.7170000000000005</v>
      </c>
      <c r="E241" s="52">
        <v>98201</v>
      </c>
      <c r="F241" s="31">
        <v>1.4175</v>
      </c>
      <c r="G241" s="31">
        <v>1.22</v>
      </c>
      <c r="H241" s="31">
        <v>1.25</v>
      </c>
      <c r="I241" s="31">
        <v>1.3</v>
      </c>
      <c r="J241" s="31">
        <v>1.0777000000000001</v>
      </c>
      <c r="K241" s="52">
        <f t="shared" si="70"/>
        <v>297406.22653542948</v>
      </c>
      <c r="L241" s="52">
        <f t="shared" si="75"/>
        <v>892218.67960628844</v>
      </c>
    </row>
    <row r="242" spans="1:12" ht="30" customHeight="1" x14ac:dyDescent="0.2">
      <c r="A242" s="27" t="s">
        <v>2558</v>
      </c>
      <c r="B242" s="27" t="s">
        <v>2546</v>
      </c>
      <c r="C242" s="27"/>
      <c r="D242" s="31">
        <f t="shared" si="74"/>
        <v>9.0340000000000007</v>
      </c>
      <c r="E242" s="52">
        <v>98201</v>
      </c>
      <c r="F242" s="31">
        <v>1.4175</v>
      </c>
      <c r="G242" s="31">
        <v>1.22</v>
      </c>
      <c r="H242" s="31">
        <v>1.25</v>
      </c>
      <c r="I242" s="31">
        <v>1.3</v>
      </c>
      <c r="J242" s="31">
        <v>1.0777000000000001</v>
      </c>
      <c r="K242" s="52">
        <f t="shared" si="70"/>
        <v>297406.22653542948</v>
      </c>
      <c r="L242" s="52">
        <f t="shared" si="75"/>
        <v>1189624.9061417179</v>
      </c>
    </row>
    <row r="243" spans="1:12" ht="30" customHeight="1" x14ac:dyDescent="0.2">
      <c r="A243" s="27" t="s">
        <v>2559</v>
      </c>
      <c r="B243" s="27" t="s">
        <v>2548</v>
      </c>
      <c r="C243" s="27"/>
      <c r="D243" s="31">
        <f t="shared" si="74"/>
        <v>11.351000000000001</v>
      </c>
      <c r="E243" s="52">
        <v>98201</v>
      </c>
      <c r="F243" s="31">
        <v>1.4175</v>
      </c>
      <c r="G243" s="31">
        <v>1.22</v>
      </c>
      <c r="H243" s="31">
        <v>1.25</v>
      </c>
      <c r="I243" s="31">
        <v>1.3</v>
      </c>
      <c r="J243" s="31">
        <v>1.0777000000000001</v>
      </c>
      <c r="K243" s="52">
        <f t="shared" si="70"/>
        <v>297406.22653542948</v>
      </c>
      <c r="L243" s="52">
        <f t="shared" si="75"/>
        <v>1487031.1326771474</v>
      </c>
    </row>
    <row r="244" spans="1:12" ht="30" customHeight="1" x14ac:dyDescent="0.2">
      <c r="A244" s="27" t="s">
        <v>2560</v>
      </c>
      <c r="B244" s="27" t="s">
        <v>2550</v>
      </c>
      <c r="C244" s="27"/>
      <c r="D244" s="31">
        <f t="shared" si="74"/>
        <v>13.668000000000001</v>
      </c>
      <c r="E244" s="52">
        <v>98201</v>
      </c>
      <c r="F244" s="31">
        <v>1.4175</v>
      </c>
      <c r="G244" s="31">
        <v>1.22</v>
      </c>
      <c r="H244" s="31">
        <v>1.25</v>
      </c>
      <c r="I244" s="31">
        <v>1.3</v>
      </c>
      <c r="J244" s="31">
        <v>1.0777000000000001</v>
      </c>
      <c r="K244" s="52">
        <f t="shared" si="70"/>
        <v>297406.22653542948</v>
      </c>
      <c r="L244" s="52">
        <f t="shared" si="75"/>
        <v>1784437.3592125769</v>
      </c>
    </row>
    <row r="245" spans="1:12" ht="30" customHeight="1" x14ac:dyDescent="0.2">
      <c r="A245" s="27" t="s">
        <v>2561</v>
      </c>
      <c r="B245" s="27" t="s">
        <v>2552</v>
      </c>
      <c r="C245" s="27"/>
      <c r="D245" s="31">
        <f t="shared" si="74"/>
        <v>15.985000000000001</v>
      </c>
      <c r="E245" s="52">
        <v>98201</v>
      </c>
      <c r="F245" s="31">
        <v>1.4175</v>
      </c>
      <c r="G245" s="31">
        <v>1.22</v>
      </c>
      <c r="H245" s="31">
        <v>1.25</v>
      </c>
      <c r="I245" s="31">
        <v>1.3</v>
      </c>
      <c r="J245" s="31">
        <v>1.0777000000000001</v>
      </c>
      <c r="K245" s="52">
        <f t="shared" si="70"/>
        <v>297406.22653542948</v>
      </c>
      <c r="L245" s="52">
        <f t="shared" si="75"/>
        <v>2081843.5857480064</v>
      </c>
    </row>
    <row r="246" spans="1:12" ht="30" customHeight="1" x14ac:dyDescent="0.2">
      <c r="A246" s="27" t="s">
        <v>2562</v>
      </c>
      <c r="B246" s="27" t="s">
        <v>2563</v>
      </c>
      <c r="C246" s="27"/>
      <c r="D246" s="31">
        <f t="shared" si="74"/>
        <v>18.302</v>
      </c>
      <c r="E246" s="52">
        <v>98201</v>
      </c>
      <c r="F246" s="31">
        <v>1.4175</v>
      </c>
      <c r="G246" s="31">
        <v>1.22</v>
      </c>
      <c r="H246" s="31">
        <v>1.25</v>
      </c>
      <c r="I246" s="31">
        <v>1.3</v>
      </c>
      <c r="J246" s="31">
        <v>1.0777000000000001</v>
      </c>
      <c r="K246" s="52">
        <f t="shared" si="70"/>
        <v>297406.22653542948</v>
      </c>
      <c r="L246" s="52">
        <f t="shared" si="75"/>
        <v>2379249.8122834358</v>
      </c>
    </row>
    <row r="247" spans="1:12" ht="30" customHeight="1" x14ac:dyDescent="0.2">
      <c r="A247" s="27" t="s">
        <v>2564</v>
      </c>
      <c r="B247" s="27" t="s">
        <v>2565</v>
      </c>
      <c r="C247" s="27"/>
      <c r="D247" s="31">
        <f t="shared" si="74"/>
        <v>20.619</v>
      </c>
      <c r="E247" s="52">
        <v>98201</v>
      </c>
      <c r="F247" s="31">
        <v>1.4175</v>
      </c>
      <c r="G247" s="31">
        <v>1.22</v>
      </c>
      <c r="H247" s="31">
        <v>1.25</v>
      </c>
      <c r="I247" s="31">
        <v>1.3</v>
      </c>
      <c r="J247" s="31">
        <v>1.0777000000000001</v>
      </c>
      <c r="K247" s="52">
        <f t="shared" si="70"/>
        <v>297406.22653542948</v>
      </c>
      <c r="L247" s="52">
        <f t="shared" si="75"/>
        <v>2676656.0388188651</v>
      </c>
    </row>
    <row r="248" spans="1:12" ht="30" customHeight="1" x14ac:dyDescent="0.2">
      <c r="A248" s="27" t="s">
        <v>2566</v>
      </c>
      <c r="B248" s="27" t="s">
        <v>2567</v>
      </c>
      <c r="C248" s="27"/>
      <c r="D248" s="31">
        <f t="shared" si="74"/>
        <v>22.936</v>
      </c>
      <c r="E248" s="52">
        <v>98201</v>
      </c>
      <c r="F248" s="31">
        <v>1.4175</v>
      </c>
      <c r="G248" s="31">
        <v>1.22</v>
      </c>
      <c r="H248" s="31">
        <v>1.25</v>
      </c>
      <c r="I248" s="31">
        <v>1.3</v>
      </c>
      <c r="J248" s="31">
        <v>1.0777000000000001</v>
      </c>
      <c r="K248" s="52">
        <f t="shared" si="70"/>
        <v>297406.22653542948</v>
      </c>
      <c r="L248" s="52">
        <f t="shared" si="75"/>
        <v>2974062.2653542943</v>
      </c>
    </row>
    <row r="249" spans="1:12" ht="30" customHeight="1" x14ac:dyDescent="0.2">
      <c r="A249" s="27" t="s">
        <v>2568</v>
      </c>
      <c r="B249" s="27" t="s">
        <v>2569</v>
      </c>
      <c r="C249" s="27"/>
      <c r="D249" s="31">
        <f t="shared" si="74"/>
        <v>25.253</v>
      </c>
      <c r="E249" s="52">
        <v>98201</v>
      </c>
      <c r="F249" s="31">
        <v>1.4175</v>
      </c>
      <c r="G249" s="31">
        <v>1.22</v>
      </c>
      <c r="H249" s="31">
        <v>1.25</v>
      </c>
      <c r="I249" s="31">
        <v>1.3</v>
      </c>
      <c r="J249" s="31">
        <v>1.0777000000000001</v>
      </c>
      <c r="K249" s="52">
        <f t="shared" si="70"/>
        <v>297406.22653542948</v>
      </c>
      <c r="L249" s="52">
        <f t="shared" si="75"/>
        <v>3271468.4918897236</v>
      </c>
    </row>
    <row r="250" spans="1:12" ht="30" customHeight="1" x14ac:dyDescent="0.2">
      <c r="A250" s="27" t="s">
        <v>2570</v>
      </c>
      <c r="B250" s="27" t="s">
        <v>2571</v>
      </c>
      <c r="C250" s="27"/>
      <c r="D250" s="31">
        <f t="shared" si="74"/>
        <v>27.57</v>
      </c>
      <c r="E250" s="52">
        <v>98201</v>
      </c>
      <c r="F250" s="31">
        <v>1.4175</v>
      </c>
      <c r="G250" s="31">
        <v>1.22</v>
      </c>
      <c r="H250" s="31">
        <v>1.25</v>
      </c>
      <c r="I250" s="31">
        <v>1.3</v>
      </c>
      <c r="J250" s="31">
        <v>1.0777000000000001</v>
      </c>
      <c r="K250" s="52">
        <f t="shared" si="70"/>
        <v>297406.22653542948</v>
      </c>
      <c r="L250" s="52">
        <f t="shared" si="75"/>
        <v>3568874.7184251528</v>
      </c>
    </row>
    <row r="251" spans="1:12" ht="30" customHeight="1" x14ac:dyDescent="0.2">
      <c r="A251" s="27" t="s">
        <v>2572</v>
      </c>
      <c r="B251" s="27" t="s">
        <v>2573</v>
      </c>
      <c r="C251" s="27"/>
      <c r="D251" s="31">
        <f t="shared" si="74"/>
        <v>29.887</v>
      </c>
      <c r="E251" s="52">
        <v>98201</v>
      </c>
      <c r="F251" s="31">
        <v>1.4175</v>
      </c>
      <c r="G251" s="31">
        <v>1.22</v>
      </c>
      <c r="H251" s="31">
        <v>1.25</v>
      </c>
      <c r="I251" s="31">
        <v>1.3</v>
      </c>
      <c r="J251" s="31">
        <v>1.0777000000000001</v>
      </c>
      <c r="K251" s="52">
        <f t="shared" si="70"/>
        <v>297406.22653542948</v>
      </c>
      <c r="L251" s="52">
        <f t="shared" si="75"/>
        <v>3866280.9449605821</v>
      </c>
    </row>
    <row r="252" spans="1:12" ht="30" customHeight="1" x14ac:dyDescent="0.2">
      <c r="A252" s="27" t="s">
        <v>2574</v>
      </c>
      <c r="B252" s="27" t="s">
        <v>2575</v>
      </c>
      <c r="C252" s="27"/>
      <c r="D252" s="31">
        <v>0.78300000000000003</v>
      </c>
      <c r="E252" s="52">
        <v>0</v>
      </c>
      <c r="F252" s="31"/>
      <c r="G252" s="31"/>
      <c r="H252" s="31"/>
      <c r="I252" s="31"/>
      <c r="J252" s="31"/>
      <c r="K252" s="52">
        <f t="shared" si="70"/>
        <v>0</v>
      </c>
      <c r="L252" s="52">
        <f>K252</f>
        <v>0</v>
      </c>
    </row>
    <row r="253" spans="1:12" ht="30" customHeight="1" x14ac:dyDescent="0.2">
      <c r="A253" s="27" t="s">
        <v>2576</v>
      </c>
      <c r="B253" s="27" t="s">
        <v>2577</v>
      </c>
      <c r="C253" s="27"/>
      <c r="D253" s="31">
        <v>1.7</v>
      </c>
      <c r="E253" s="52">
        <v>566782</v>
      </c>
      <c r="F253" s="31"/>
      <c r="G253" s="31"/>
      <c r="H253" s="31"/>
      <c r="I253" s="31">
        <v>1.3</v>
      </c>
      <c r="J253" s="31"/>
      <c r="K253" s="52">
        <f t="shared" si="70"/>
        <v>736816.6</v>
      </c>
      <c r="L253" s="52">
        <f>K253+L252</f>
        <v>736816.6</v>
      </c>
    </row>
    <row r="254" spans="1:12" ht="30" customHeight="1" x14ac:dyDescent="0.2">
      <c r="A254" s="27" t="s">
        <v>2578</v>
      </c>
      <c r="B254" s="27" t="s">
        <v>2579</v>
      </c>
      <c r="C254" s="27"/>
      <c r="D254" s="31">
        <v>0.86599999999999999</v>
      </c>
      <c r="E254" s="52">
        <v>64457</v>
      </c>
      <c r="F254" s="31"/>
      <c r="G254" s="31">
        <v>1.22</v>
      </c>
      <c r="H254" s="31">
        <v>1.25</v>
      </c>
      <c r="I254" s="31">
        <v>1.3</v>
      </c>
      <c r="J254" s="31"/>
      <c r="K254" s="52">
        <f t="shared" si="70"/>
        <v>127786.00249999999</v>
      </c>
      <c r="L254" s="52">
        <f>K254</f>
        <v>127786.00249999999</v>
      </c>
    </row>
    <row r="255" spans="1:12" ht="30" customHeight="1" x14ac:dyDescent="0.2">
      <c r="A255" s="27" t="s">
        <v>2580</v>
      </c>
      <c r="B255" s="27" t="s">
        <v>2581</v>
      </c>
      <c r="C255" s="27"/>
      <c r="D255" s="31">
        <f t="shared" ref="D255:D256" si="76">D254+1.3</f>
        <v>2.1659999999999999</v>
      </c>
      <c r="E255" s="52">
        <v>64457</v>
      </c>
      <c r="F255" s="31"/>
      <c r="G255" s="31">
        <v>1.22</v>
      </c>
      <c r="H255" s="31">
        <v>1.25</v>
      </c>
      <c r="I255" s="31">
        <v>1.3</v>
      </c>
      <c r="J255" s="31"/>
      <c r="K255" s="52">
        <f t="shared" si="70"/>
        <v>127786.00249999999</v>
      </c>
      <c r="L255" s="52">
        <f t="shared" ref="L255:L272" si="77">K255+L254</f>
        <v>255572.00499999998</v>
      </c>
    </row>
    <row r="256" spans="1:12" ht="30" customHeight="1" x14ac:dyDescent="0.2">
      <c r="A256" s="27" t="s">
        <v>2582</v>
      </c>
      <c r="B256" s="27" t="s">
        <v>2583</v>
      </c>
      <c r="C256" s="27"/>
      <c r="D256" s="31">
        <f t="shared" si="76"/>
        <v>3.4660000000000002</v>
      </c>
      <c r="E256" s="52">
        <v>64457</v>
      </c>
      <c r="F256" s="31"/>
      <c r="G256" s="31">
        <v>1.22</v>
      </c>
      <c r="H256" s="31">
        <v>1.25</v>
      </c>
      <c r="I256" s="31">
        <v>1.3</v>
      </c>
      <c r="J256" s="31"/>
      <c r="K256" s="52">
        <f t="shared" si="70"/>
        <v>127786.00249999999</v>
      </c>
      <c r="L256" s="52">
        <f t="shared" si="77"/>
        <v>383358.00749999995</v>
      </c>
    </row>
    <row r="257" spans="1:12" ht="30" customHeight="1" x14ac:dyDescent="0.2">
      <c r="A257" s="27" t="s">
        <v>2584</v>
      </c>
      <c r="B257" s="27" t="s">
        <v>2585</v>
      </c>
      <c r="C257" s="27"/>
      <c r="D257" s="31">
        <f>D256+1.733</f>
        <v>5.1989999999999998</v>
      </c>
      <c r="E257" s="52">
        <v>64457</v>
      </c>
      <c r="F257" s="31"/>
      <c r="G257" s="31">
        <v>1.22</v>
      </c>
      <c r="H257" s="31">
        <v>1.25</v>
      </c>
      <c r="I257" s="31">
        <v>1.3</v>
      </c>
      <c r="J257" s="31"/>
      <c r="K257" s="52">
        <f t="shared" si="70"/>
        <v>127786.00249999999</v>
      </c>
      <c r="L257" s="52">
        <f t="shared" si="77"/>
        <v>511144.00999999995</v>
      </c>
    </row>
    <row r="258" spans="1:12" ht="30" customHeight="1" x14ac:dyDescent="0.2">
      <c r="A258" s="27" t="s">
        <v>2586</v>
      </c>
      <c r="B258" s="27" t="s">
        <v>2587</v>
      </c>
      <c r="C258" s="27"/>
      <c r="D258" s="31">
        <f t="shared" ref="D258:D259" si="78">D257+1.3</f>
        <v>6.4989999999999997</v>
      </c>
      <c r="E258" s="52">
        <v>64457</v>
      </c>
      <c r="F258" s="31"/>
      <c r="G258" s="31">
        <v>1.22</v>
      </c>
      <c r="H258" s="31">
        <v>1.25</v>
      </c>
      <c r="I258" s="31">
        <v>1.3</v>
      </c>
      <c r="J258" s="31"/>
      <c r="K258" s="52">
        <f t="shared" si="70"/>
        <v>127786.00249999999</v>
      </c>
      <c r="L258" s="52">
        <f t="shared" si="77"/>
        <v>638930.01249999995</v>
      </c>
    </row>
    <row r="259" spans="1:12" ht="30" customHeight="1" x14ac:dyDescent="0.2">
      <c r="A259" s="27" t="s">
        <v>2588</v>
      </c>
      <c r="B259" s="27" t="s">
        <v>2589</v>
      </c>
      <c r="C259" s="27"/>
      <c r="D259" s="31">
        <f t="shared" si="78"/>
        <v>7.7989999999999995</v>
      </c>
      <c r="E259" s="52">
        <v>64457</v>
      </c>
      <c r="F259" s="31"/>
      <c r="G259" s="31">
        <v>1.22</v>
      </c>
      <c r="H259" s="31">
        <v>1.25</v>
      </c>
      <c r="I259" s="31">
        <v>1.3</v>
      </c>
      <c r="J259" s="31"/>
      <c r="K259" s="52">
        <f t="shared" si="70"/>
        <v>127786.00249999999</v>
      </c>
      <c r="L259" s="52">
        <f t="shared" si="77"/>
        <v>766716.0149999999</v>
      </c>
    </row>
    <row r="260" spans="1:12" ht="30" customHeight="1" x14ac:dyDescent="0.2">
      <c r="A260" s="27" t="s">
        <v>2590</v>
      </c>
      <c r="B260" s="27" t="s">
        <v>2591</v>
      </c>
      <c r="C260" s="27"/>
      <c r="D260" s="31">
        <f>D259+1.733</f>
        <v>9.532</v>
      </c>
      <c r="E260" s="52">
        <v>64457</v>
      </c>
      <c r="F260" s="31"/>
      <c r="G260" s="31">
        <v>1.22</v>
      </c>
      <c r="H260" s="31">
        <v>1.25</v>
      </c>
      <c r="I260" s="31">
        <v>1.3</v>
      </c>
      <c r="J260" s="31"/>
      <c r="K260" s="52">
        <f t="shared" si="70"/>
        <v>127786.00249999999</v>
      </c>
      <c r="L260" s="52">
        <f t="shared" si="77"/>
        <v>894502.01749999984</v>
      </c>
    </row>
    <row r="261" spans="1:12" ht="30" customHeight="1" x14ac:dyDescent="0.2">
      <c r="A261" s="27" t="s">
        <v>2592</v>
      </c>
      <c r="B261" s="27" t="s">
        <v>2593</v>
      </c>
      <c r="C261" s="27"/>
      <c r="D261" s="31">
        <f t="shared" ref="D261:D262" si="79">D260+1.3</f>
        <v>10.832000000000001</v>
      </c>
      <c r="E261" s="52">
        <v>64457</v>
      </c>
      <c r="F261" s="31"/>
      <c r="G261" s="31">
        <v>1.22</v>
      </c>
      <c r="H261" s="31">
        <v>1.25</v>
      </c>
      <c r="I261" s="31">
        <v>1.3</v>
      </c>
      <c r="J261" s="31"/>
      <c r="K261" s="52">
        <f t="shared" si="70"/>
        <v>127786.00249999999</v>
      </c>
      <c r="L261" s="52">
        <f t="shared" si="77"/>
        <v>1022288.0199999998</v>
      </c>
    </row>
    <row r="262" spans="1:12" ht="30" customHeight="1" x14ac:dyDescent="0.2">
      <c r="A262" s="27" t="s">
        <v>2594</v>
      </c>
      <c r="B262" s="27" t="s">
        <v>2595</v>
      </c>
      <c r="C262" s="27"/>
      <c r="D262" s="31">
        <f t="shared" si="79"/>
        <v>12.132000000000001</v>
      </c>
      <c r="E262" s="52">
        <v>64457</v>
      </c>
      <c r="F262" s="31"/>
      <c r="G262" s="31">
        <v>1.22</v>
      </c>
      <c r="H262" s="31">
        <v>1.25</v>
      </c>
      <c r="I262" s="31">
        <v>1.3</v>
      </c>
      <c r="J262" s="31"/>
      <c r="K262" s="52">
        <f t="shared" si="70"/>
        <v>127786.00249999999</v>
      </c>
      <c r="L262" s="52">
        <f t="shared" si="77"/>
        <v>1150074.0224999997</v>
      </c>
    </row>
    <row r="263" spans="1:12" ht="30" customHeight="1" x14ac:dyDescent="0.2">
      <c r="A263" s="27" t="s">
        <v>2596</v>
      </c>
      <c r="B263" s="27" t="s">
        <v>2597</v>
      </c>
      <c r="C263" s="27"/>
      <c r="D263" s="31">
        <f>D262+1.733</f>
        <v>13.865000000000002</v>
      </c>
      <c r="E263" s="52">
        <v>64457</v>
      </c>
      <c r="F263" s="31"/>
      <c r="G263" s="31">
        <v>1.22</v>
      </c>
      <c r="H263" s="31">
        <v>1.25</v>
      </c>
      <c r="I263" s="31">
        <v>1.3</v>
      </c>
      <c r="J263" s="31"/>
      <c r="K263" s="52">
        <f t="shared" si="70"/>
        <v>127786.00249999999</v>
      </c>
      <c r="L263" s="52">
        <f t="shared" si="77"/>
        <v>1277860.0249999997</v>
      </c>
    </row>
    <row r="264" spans="1:12" ht="30" customHeight="1" x14ac:dyDescent="0.2">
      <c r="A264" s="27" t="s">
        <v>2598</v>
      </c>
      <c r="B264" s="27" t="s">
        <v>2599</v>
      </c>
      <c r="C264" s="27"/>
      <c r="D264" s="31">
        <f t="shared" ref="D264:D265" si="80">D263+1.3</f>
        <v>15.165000000000003</v>
      </c>
      <c r="E264" s="52">
        <v>64457</v>
      </c>
      <c r="F264" s="31"/>
      <c r="G264" s="31">
        <v>1.22</v>
      </c>
      <c r="H264" s="31">
        <v>1.25</v>
      </c>
      <c r="I264" s="31">
        <v>1.3</v>
      </c>
      <c r="J264" s="31"/>
      <c r="K264" s="52">
        <f t="shared" si="70"/>
        <v>127786.00249999999</v>
      </c>
      <c r="L264" s="52">
        <f t="shared" si="77"/>
        <v>1405646.0274999996</v>
      </c>
    </row>
    <row r="265" spans="1:12" ht="30" customHeight="1" x14ac:dyDescent="0.2">
      <c r="A265" s="27" t="s">
        <v>2600</v>
      </c>
      <c r="B265" s="27" t="s">
        <v>2601</v>
      </c>
      <c r="C265" s="27"/>
      <c r="D265" s="31">
        <f t="shared" si="80"/>
        <v>16.465000000000003</v>
      </c>
      <c r="E265" s="52">
        <v>64457</v>
      </c>
      <c r="F265" s="31"/>
      <c r="G265" s="31">
        <v>1.22</v>
      </c>
      <c r="H265" s="31">
        <v>1.25</v>
      </c>
      <c r="I265" s="31">
        <v>1.3</v>
      </c>
      <c r="J265" s="31"/>
      <c r="K265" s="52">
        <f t="shared" si="70"/>
        <v>127786.00249999999</v>
      </c>
      <c r="L265" s="52">
        <f t="shared" si="77"/>
        <v>1533432.0299999996</v>
      </c>
    </row>
    <row r="266" spans="1:12" ht="30" customHeight="1" x14ac:dyDescent="0.2">
      <c r="A266" s="27" t="s">
        <v>2602</v>
      </c>
      <c r="B266" s="27" t="s">
        <v>2603</v>
      </c>
      <c r="C266" s="27"/>
      <c r="D266" s="31">
        <f>D265+1.733</f>
        <v>18.198000000000004</v>
      </c>
      <c r="E266" s="52">
        <v>64457</v>
      </c>
      <c r="F266" s="31"/>
      <c r="G266" s="31">
        <v>1.22</v>
      </c>
      <c r="H266" s="31">
        <v>1.25</v>
      </c>
      <c r="I266" s="31">
        <v>1.3</v>
      </c>
      <c r="J266" s="31"/>
      <c r="K266" s="52">
        <f t="shared" si="70"/>
        <v>127786.00249999999</v>
      </c>
      <c r="L266" s="52">
        <f t="shared" si="77"/>
        <v>1661218.0324999995</v>
      </c>
    </row>
    <row r="267" spans="1:12" ht="30" customHeight="1" x14ac:dyDescent="0.2">
      <c r="A267" s="27" t="s">
        <v>2604</v>
      </c>
      <c r="B267" s="27" t="s">
        <v>2605</v>
      </c>
      <c r="C267" s="27"/>
      <c r="D267" s="31">
        <f t="shared" ref="D267:D268" si="81">D266+1.3</f>
        <v>19.498000000000005</v>
      </c>
      <c r="E267" s="52">
        <v>64457</v>
      </c>
      <c r="F267" s="31"/>
      <c r="G267" s="31">
        <v>1.22</v>
      </c>
      <c r="H267" s="31">
        <v>1.25</v>
      </c>
      <c r="I267" s="31">
        <v>1.3</v>
      </c>
      <c r="J267" s="31"/>
      <c r="K267" s="52">
        <f t="shared" si="70"/>
        <v>127786.00249999999</v>
      </c>
      <c r="L267" s="52">
        <f t="shared" si="77"/>
        <v>1789004.0349999995</v>
      </c>
    </row>
    <row r="268" spans="1:12" ht="30" customHeight="1" x14ac:dyDescent="0.2">
      <c r="A268" s="27" t="s">
        <v>2606</v>
      </c>
      <c r="B268" s="27" t="s">
        <v>2607</v>
      </c>
      <c r="C268" s="27"/>
      <c r="D268" s="31">
        <f t="shared" si="81"/>
        <v>20.798000000000005</v>
      </c>
      <c r="E268" s="52">
        <v>64457</v>
      </c>
      <c r="F268" s="31"/>
      <c r="G268" s="31">
        <v>1.22</v>
      </c>
      <c r="H268" s="31">
        <v>1.25</v>
      </c>
      <c r="I268" s="31">
        <v>1.3</v>
      </c>
      <c r="J268" s="31"/>
      <c r="K268" s="52">
        <f t="shared" si="70"/>
        <v>127786.00249999999</v>
      </c>
      <c r="L268" s="52">
        <f t="shared" si="77"/>
        <v>1916790.0374999994</v>
      </c>
    </row>
    <row r="269" spans="1:12" ht="30" customHeight="1" x14ac:dyDescent="0.2">
      <c r="A269" s="27" t="s">
        <v>2608</v>
      </c>
      <c r="B269" s="27" t="s">
        <v>2609</v>
      </c>
      <c r="C269" s="27"/>
      <c r="D269" s="31">
        <f>D268+1.733</f>
        <v>22.531000000000006</v>
      </c>
      <c r="E269" s="52">
        <v>64457</v>
      </c>
      <c r="F269" s="31"/>
      <c r="G269" s="31">
        <v>1.22</v>
      </c>
      <c r="H269" s="31">
        <v>1.25</v>
      </c>
      <c r="I269" s="31">
        <v>1.3</v>
      </c>
      <c r="J269" s="31"/>
      <c r="K269" s="52">
        <f t="shared" si="70"/>
        <v>127786.00249999999</v>
      </c>
      <c r="L269" s="52">
        <f t="shared" si="77"/>
        <v>2044576.0399999993</v>
      </c>
    </row>
    <row r="270" spans="1:12" ht="30" customHeight="1" x14ac:dyDescent="0.2">
      <c r="A270" s="27" t="s">
        <v>2610</v>
      </c>
      <c r="B270" s="27" t="s">
        <v>2611</v>
      </c>
      <c r="C270" s="27"/>
      <c r="D270" s="31">
        <f t="shared" ref="D270:D271" si="82">D269+1.3</f>
        <v>23.831000000000007</v>
      </c>
      <c r="E270" s="52">
        <v>64457</v>
      </c>
      <c r="F270" s="31"/>
      <c r="G270" s="31">
        <v>1.22</v>
      </c>
      <c r="H270" s="31">
        <v>1.25</v>
      </c>
      <c r="I270" s="31">
        <v>1.3</v>
      </c>
      <c r="J270" s="31"/>
      <c r="K270" s="52">
        <f t="shared" si="70"/>
        <v>127786.00249999999</v>
      </c>
      <c r="L270" s="52">
        <f t="shared" si="77"/>
        <v>2172362.0424999995</v>
      </c>
    </row>
    <row r="271" spans="1:12" ht="30" customHeight="1" x14ac:dyDescent="0.2">
      <c r="A271" s="27" t="s">
        <v>2612</v>
      </c>
      <c r="B271" s="27" t="s">
        <v>2613</v>
      </c>
      <c r="C271" s="27"/>
      <c r="D271" s="31">
        <f t="shared" si="82"/>
        <v>25.131000000000007</v>
      </c>
      <c r="E271" s="52">
        <v>64457</v>
      </c>
      <c r="F271" s="31"/>
      <c r="G271" s="31">
        <v>1.22</v>
      </c>
      <c r="H271" s="31">
        <v>1.25</v>
      </c>
      <c r="I271" s="31">
        <v>1.3</v>
      </c>
      <c r="J271" s="31"/>
      <c r="K271" s="52">
        <f t="shared" si="70"/>
        <v>127786.00249999999</v>
      </c>
      <c r="L271" s="52">
        <f t="shared" si="77"/>
        <v>2300148.0449999995</v>
      </c>
    </row>
    <row r="272" spans="1:12" ht="30" customHeight="1" x14ac:dyDescent="0.2">
      <c r="A272" s="27" t="s">
        <v>2614</v>
      </c>
      <c r="B272" s="27" t="s">
        <v>2615</v>
      </c>
      <c r="C272" s="27"/>
      <c r="D272" s="31">
        <f>D271+0.433</f>
        <v>25.564000000000007</v>
      </c>
      <c r="E272" s="52">
        <v>13686</v>
      </c>
      <c r="F272" s="31"/>
      <c r="G272" s="31">
        <v>1.22</v>
      </c>
      <c r="H272" s="31">
        <v>1.25</v>
      </c>
      <c r="I272" s="31">
        <v>1.3</v>
      </c>
      <c r="J272" s="31"/>
      <c r="K272" s="52">
        <f t="shared" si="70"/>
        <v>27132.494999999999</v>
      </c>
      <c r="L272" s="52">
        <f t="shared" si="77"/>
        <v>2327280.5399999996</v>
      </c>
    </row>
    <row r="273" spans="1:12" ht="30" customHeight="1" x14ac:dyDescent="0.2">
      <c r="A273" s="27" t="s">
        <v>2616</v>
      </c>
      <c r="B273" s="27" t="s">
        <v>2617</v>
      </c>
      <c r="C273" s="27"/>
      <c r="D273" s="31">
        <v>1.9330000000000001</v>
      </c>
      <c r="E273" s="52">
        <v>107637</v>
      </c>
      <c r="F273" s="31"/>
      <c r="G273" s="31">
        <v>1.1356999999999999</v>
      </c>
      <c r="H273" s="31">
        <v>1.25</v>
      </c>
      <c r="I273" s="31">
        <v>1.3</v>
      </c>
      <c r="J273" s="31"/>
      <c r="K273" s="52">
        <f t="shared" si="70"/>
        <v>198645.42896250001</v>
      </c>
      <c r="L273" s="52">
        <f>K273</f>
        <v>198645.42896250001</v>
      </c>
    </row>
    <row r="274" spans="1:12" ht="30" customHeight="1" x14ac:dyDescent="0.2">
      <c r="A274" s="27" t="s">
        <v>2618</v>
      </c>
      <c r="B274" s="27" t="s">
        <v>2619</v>
      </c>
      <c r="C274" s="27"/>
      <c r="D274" s="31">
        <f t="shared" ref="D274:D283" si="83">D273+2.216</f>
        <v>4.149</v>
      </c>
      <c r="E274" s="52">
        <f t="shared" ref="E274:E283" si="84">43342*2</f>
        <v>86684</v>
      </c>
      <c r="F274" s="31"/>
      <c r="G274" s="31">
        <v>1.1356999999999999</v>
      </c>
      <c r="H274" s="31">
        <v>1.25</v>
      </c>
      <c r="I274" s="31">
        <v>1.3</v>
      </c>
      <c r="J274" s="31"/>
      <c r="K274" s="52">
        <f t="shared" si="70"/>
        <v>159976.40554999997</v>
      </c>
      <c r="L274" s="52">
        <f t="shared" ref="L274:L283" si="85">K274+L273</f>
        <v>358621.83451249998</v>
      </c>
    </row>
    <row r="275" spans="1:12" ht="30" customHeight="1" x14ac:dyDescent="0.2">
      <c r="A275" s="27" t="s">
        <v>2620</v>
      </c>
      <c r="B275" s="27" t="s">
        <v>2621</v>
      </c>
      <c r="C275" s="27"/>
      <c r="D275" s="31">
        <f t="shared" si="83"/>
        <v>6.3650000000000002</v>
      </c>
      <c r="E275" s="52">
        <f t="shared" si="84"/>
        <v>86684</v>
      </c>
      <c r="F275" s="31"/>
      <c r="G275" s="31">
        <v>1.1356999999999999</v>
      </c>
      <c r="H275" s="31">
        <v>1.25</v>
      </c>
      <c r="I275" s="31">
        <v>1.3</v>
      </c>
      <c r="J275" s="31"/>
      <c r="K275" s="52">
        <f t="shared" si="70"/>
        <v>159976.40554999997</v>
      </c>
      <c r="L275" s="52">
        <f t="shared" si="85"/>
        <v>518598.24006249994</v>
      </c>
    </row>
    <row r="276" spans="1:12" ht="30" customHeight="1" x14ac:dyDescent="0.2">
      <c r="A276" s="27" t="s">
        <v>2622</v>
      </c>
      <c r="B276" s="27" t="s">
        <v>2623</v>
      </c>
      <c r="C276" s="27"/>
      <c r="D276" s="31">
        <f t="shared" si="83"/>
        <v>8.5809999999999995</v>
      </c>
      <c r="E276" s="52">
        <f t="shared" si="84"/>
        <v>86684</v>
      </c>
      <c r="F276" s="31"/>
      <c r="G276" s="31">
        <v>1.1356999999999999</v>
      </c>
      <c r="H276" s="31">
        <v>1.25</v>
      </c>
      <c r="I276" s="31">
        <v>1.3</v>
      </c>
      <c r="J276" s="31"/>
      <c r="K276" s="52">
        <f t="shared" si="70"/>
        <v>159976.40554999997</v>
      </c>
      <c r="L276" s="52">
        <f t="shared" si="85"/>
        <v>678574.64561249991</v>
      </c>
    </row>
    <row r="277" spans="1:12" ht="30" customHeight="1" x14ac:dyDescent="0.2">
      <c r="A277" s="27" t="s">
        <v>2624</v>
      </c>
      <c r="B277" s="27" t="s">
        <v>2625</v>
      </c>
      <c r="C277" s="27"/>
      <c r="D277" s="31">
        <f t="shared" si="83"/>
        <v>10.797000000000001</v>
      </c>
      <c r="E277" s="52">
        <f t="shared" si="84"/>
        <v>86684</v>
      </c>
      <c r="F277" s="31"/>
      <c r="G277" s="31">
        <v>1.1356999999999999</v>
      </c>
      <c r="H277" s="31">
        <v>1.25</v>
      </c>
      <c r="I277" s="31">
        <v>1.3</v>
      </c>
      <c r="J277" s="31"/>
      <c r="K277" s="52">
        <f t="shared" si="70"/>
        <v>159976.40554999997</v>
      </c>
      <c r="L277" s="52">
        <f t="shared" si="85"/>
        <v>838551.05116249993</v>
      </c>
    </row>
    <row r="278" spans="1:12" ht="30" customHeight="1" x14ac:dyDescent="0.2">
      <c r="A278" s="27" t="s">
        <v>2626</v>
      </c>
      <c r="B278" s="27" t="s">
        <v>2627</v>
      </c>
      <c r="C278" s="27"/>
      <c r="D278" s="31">
        <f t="shared" si="83"/>
        <v>13.013000000000002</v>
      </c>
      <c r="E278" s="52">
        <f t="shared" si="84"/>
        <v>86684</v>
      </c>
      <c r="F278" s="31"/>
      <c r="G278" s="31">
        <v>1.1356999999999999</v>
      </c>
      <c r="H278" s="31">
        <v>1.25</v>
      </c>
      <c r="I278" s="31">
        <v>1.3</v>
      </c>
      <c r="J278" s="31"/>
      <c r="K278" s="52">
        <f t="shared" si="70"/>
        <v>159976.40554999997</v>
      </c>
      <c r="L278" s="52">
        <f t="shared" si="85"/>
        <v>998527.45671249996</v>
      </c>
    </row>
    <row r="279" spans="1:12" ht="30" customHeight="1" x14ac:dyDescent="0.2">
      <c r="A279" s="27" t="s">
        <v>2628</v>
      </c>
      <c r="B279" s="27" t="s">
        <v>2629</v>
      </c>
      <c r="C279" s="27"/>
      <c r="D279" s="31">
        <f t="shared" si="83"/>
        <v>15.229000000000003</v>
      </c>
      <c r="E279" s="52">
        <f t="shared" si="84"/>
        <v>86684</v>
      </c>
      <c r="F279" s="31"/>
      <c r="G279" s="31">
        <v>1.1356999999999999</v>
      </c>
      <c r="H279" s="31">
        <v>1.25</v>
      </c>
      <c r="I279" s="31">
        <v>1.3</v>
      </c>
      <c r="J279" s="31"/>
      <c r="K279" s="52">
        <f t="shared" si="70"/>
        <v>159976.40554999997</v>
      </c>
      <c r="L279" s="52">
        <f t="shared" si="85"/>
        <v>1158503.8622625</v>
      </c>
    </row>
    <row r="280" spans="1:12" ht="30" customHeight="1" x14ac:dyDescent="0.2">
      <c r="A280" s="27" t="s">
        <v>2630</v>
      </c>
      <c r="B280" s="27" t="s">
        <v>2631</v>
      </c>
      <c r="C280" s="27"/>
      <c r="D280" s="31">
        <f t="shared" si="83"/>
        <v>17.445000000000004</v>
      </c>
      <c r="E280" s="52">
        <f t="shared" si="84"/>
        <v>86684</v>
      </c>
      <c r="F280" s="31"/>
      <c r="G280" s="31">
        <v>1.1356999999999999</v>
      </c>
      <c r="H280" s="31">
        <v>1.25</v>
      </c>
      <c r="I280" s="31">
        <v>1.3</v>
      </c>
      <c r="J280" s="31"/>
      <c r="K280" s="52">
        <f t="shared" si="70"/>
        <v>159976.40554999997</v>
      </c>
      <c r="L280" s="52">
        <f t="shared" si="85"/>
        <v>1318480.2678125</v>
      </c>
    </row>
    <row r="281" spans="1:12" ht="30" customHeight="1" x14ac:dyDescent="0.2">
      <c r="A281" s="27" t="s">
        <v>2632</v>
      </c>
      <c r="B281" s="27" t="s">
        <v>2633</v>
      </c>
      <c r="C281" s="27"/>
      <c r="D281" s="31">
        <f t="shared" si="83"/>
        <v>19.661000000000005</v>
      </c>
      <c r="E281" s="52">
        <f t="shared" si="84"/>
        <v>86684</v>
      </c>
      <c r="F281" s="31"/>
      <c r="G281" s="31">
        <v>1.1356999999999999</v>
      </c>
      <c r="H281" s="31">
        <v>1.25</v>
      </c>
      <c r="I281" s="31">
        <v>1.3</v>
      </c>
      <c r="J281" s="31"/>
      <c r="K281" s="52">
        <f t="shared" si="70"/>
        <v>159976.40554999997</v>
      </c>
      <c r="L281" s="52">
        <f t="shared" si="85"/>
        <v>1478456.6733625</v>
      </c>
    </row>
    <row r="282" spans="1:12" ht="30" customHeight="1" x14ac:dyDescent="0.2">
      <c r="A282" s="27" t="s">
        <v>2634</v>
      </c>
      <c r="B282" s="27" t="s">
        <v>2635</v>
      </c>
      <c r="C282" s="27"/>
      <c r="D282" s="31">
        <f t="shared" si="83"/>
        <v>21.877000000000006</v>
      </c>
      <c r="E282" s="52">
        <f t="shared" si="84"/>
        <v>86684</v>
      </c>
      <c r="F282" s="31"/>
      <c r="G282" s="31">
        <v>1.1356999999999999</v>
      </c>
      <c r="H282" s="31">
        <v>1.25</v>
      </c>
      <c r="I282" s="31">
        <v>1.3</v>
      </c>
      <c r="J282" s="31"/>
      <c r="K282" s="52">
        <f t="shared" si="70"/>
        <v>159976.40554999997</v>
      </c>
      <c r="L282" s="52">
        <f t="shared" si="85"/>
        <v>1638433.0789125001</v>
      </c>
    </row>
    <row r="283" spans="1:12" ht="30" customHeight="1" x14ac:dyDescent="0.2">
      <c r="A283" s="27" t="s">
        <v>2636</v>
      </c>
      <c r="B283" s="27" t="s">
        <v>2637</v>
      </c>
      <c r="C283" s="27"/>
      <c r="D283" s="31">
        <f t="shared" si="83"/>
        <v>24.093000000000007</v>
      </c>
      <c r="E283" s="52">
        <f t="shared" si="84"/>
        <v>86684</v>
      </c>
      <c r="F283" s="31"/>
      <c r="G283" s="31">
        <v>1.1356999999999999</v>
      </c>
      <c r="H283" s="31">
        <v>1.25</v>
      </c>
      <c r="I283" s="31">
        <v>1.3</v>
      </c>
      <c r="J283" s="31"/>
      <c r="K283" s="52">
        <f t="shared" si="70"/>
        <v>159976.40554999997</v>
      </c>
      <c r="L283" s="52">
        <f t="shared" si="85"/>
        <v>1798409.4844625001</v>
      </c>
    </row>
    <row r="284" spans="1:12" ht="30" customHeight="1" x14ac:dyDescent="0.2">
      <c r="A284" s="27" t="s">
        <v>2638</v>
      </c>
      <c r="B284" s="27" t="s">
        <v>2639</v>
      </c>
      <c r="C284" s="27"/>
      <c r="D284" s="31">
        <v>0</v>
      </c>
      <c r="E284" s="52">
        <v>43342</v>
      </c>
      <c r="F284" s="31"/>
      <c r="G284" s="31">
        <v>1.135</v>
      </c>
      <c r="H284" s="31">
        <v>1.25</v>
      </c>
      <c r="I284" s="31">
        <v>1.3</v>
      </c>
      <c r="J284" s="31"/>
      <c r="K284" s="52">
        <f t="shared" si="70"/>
        <v>79938.901249999995</v>
      </c>
      <c r="L284" s="52">
        <f>K284</f>
        <v>79938.901249999995</v>
      </c>
    </row>
    <row r="285" spans="1:12" ht="30" customHeight="1" x14ac:dyDescent="0.2">
      <c r="A285" s="27" t="s">
        <v>2640</v>
      </c>
      <c r="B285" s="27" t="s">
        <v>2641</v>
      </c>
      <c r="C285" s="27"/>
      <c r="D285" s="31">
        <f t="shared" ref="D285:D287" si="86">D284+0.867</f>
        <v>0.86699999999999999</v>
      </c>
      <c r="E285" s="52">
        <v>27149</v>
      </c>
      <c r="F285" s="31">
        <v>1.1499999999999999</v>
      </c>
      <c r="G285" s="31">
        <v>1.22</v>
      </c>
      <c r="H285" s="31">
        <v>1.25</v>
      </c>
      <c r="I285" s="31">
        <v>1.3</v>
      </c>
      <c r="J285" s="31">
        <v>1.0777000000000001</v>
      </c>
      <c r="K285" s="52">
        <f t="shared" si="70"/>
        <v>66705.670934337497</v>
      </c>
      <c r="L285" s="52">
        <f t="shared" ref="L285:L326" si="87">K285+L284</f>
        <v>146644.57218433748</v>
      </c>
    </row>
    <row r="286" spans="1:12" ht="30" customHeight="1" x14ac:dyDescent="0.2">
      <c r="A286" s="27" t="s">
        <v>2642</v>
      </c>
      <c r="B286" s="27" t="s">
        <v>2643</v>
      </c>
      <c r="C286" s="27"/>
      <c r="D286" s="31">
        <f t="shared" si="86"/>
        <v>1.734</v>
      </c>
      <c r="E286" s="52">
        <v>43342</v>
      </c>
      <c r="F286" s="31"/>
      <c r="G286" s="31">
        <v>1.135</v>
      </c>
      <c r="H286" s="31">
        <v>1.25</v>
      </c>
      <c r="I286" s="31">
        <v>1.3</v>
      </c>
      <c r="J286" s="31"/>
      <c r="K286" s="52">
        <f t="shared" si="70"/>
        <v>79938.901249999995</v>
      </c>
      <c r="L286" s="52">
        <f t="shared" si="87"/>
        <v>226583.47343433747</v>
      </c>
    </row>
    <row r="287" spans="1:12" ht="30" customHeight="1" x14ac:dyDescent="0.2">
      <c r="A287" s="27" t="s">
        <v>2644</v>
      </c>
      <c r="B287" s="27" t="s">
        <v>2645</v>
      </c>
      <c r="C287" s="27"/>
      <c r="D287" s="31">
        <f t="shared" si="86"/>
        <v>2.601</v>
      </c>
      <c r="E287" s="52">
        <v>27149</v>
      </c>
      <c r="F287" s="31">
        <v>1.1499999999999999</v>
      </c>
      <c r="G287" s="31">
        <v>1.22</v>
      </c>
      <c r="H287" s="31">
        <v>1.25</v>
      </c>
      <c r="I287" s="31">
        <v>1.3</v>
      </c>
      <c r="J287" s="31">
        <v>1.0777000000000001</v>
      </c>
      <c r="K287" s="52">
        <f t="shared" si="70"/>
        <v>66705.670934337497</v>
      </c>
      <c r="L287" s="52">
        <f t="shared" si="87"/>
        <v>293289.14436867496</v>
      </c>
    </row>
    <row r="288" spans="1:12" ht="30" customHeight="1" x14ac:dyDescent="0.2">
      <c r="A288" s="27" t="s">
        <v>2646</v>
      </c>
      <c r="B288" s="27" t="s">
        <v>2647</v>
      </c>
      <c r="C288" s="27"/>
      <c r="D288" s="31">
        <f>D287+1.1</f>
        <v>3.7010000000000001</v>
      </c>
      <c r="E288" s="52">
        <v>43342</v>
      </c>
      <c r="F288" s="31"/>
      <c r="G288" s="31">
        <v>1.135</v>
      </c>
      <c r="H288" s="31">
        <v>1.25</v>
      </c>
      <c r="I288" s="31">
        <v>1.3</v>
      </c>
      <c r="J288" s="31"/>
      <c r="K288" s="52">
        <f t="shared" si="70"/>
        <v>79938.901249999995</v>
      </c>
      <c r="L288" s="52">
        <f t="shared" si="87"/>
        <v>373228.04561867495</v>
      </c>
    </row>
    <row r="289" spans="1:12" ht="30" customHeight="1" x14ac:dyDescent="0.2">
      <c r="A289" s="27" t="s">
        <v>2648</v>
      </c>
      <c r="B289" s="27" t="s">
        <v>2649</v>
      </c>
      <c r="C289" s="27"/>
      <c r="D289" s="31">
        <f t="shared" ref="D289:D291" si="88">D288+0.867</f>
        <v>4.5679999999999996</v>
      </c>
      <c r="E289" s="52">
        <v>27149</v>
      </c>
      <c r="F289" s="31">
        <v>1.1499999999999999</v>
      </c>
      <c r="G289" s="31">
        <v>1.22</v>
      </c>
      <c r="H289" s="31">
        <v>1.25</v>
      </c>
      <c r="I289" s="31">
        <v>1.3</v>
      </c>
      <c r="J289" s="31">
        <v>1.0777000000000001</v>
      </c>
      <c r="K289" s="52">
        <f t="shared" si="70"/>
        <v>66705.670934337497</v>
      </c>
      <c r="L289" s="52">
        <f t="shared" si="87"/>
        <v>439933.71655301243</v>
      </c>
    </row>
    <row r="290" spans="1:12" ht="30" customHeight="1" x14ac:dyDescent="0.2">
      <c r="A290" s="27" t="s">
        <v>2650</v>
      </c>
      <c r="B290" s="27" t="s">
        <v>2651</v>
      </c>
      <c r="C290" s="27"/>
      <c r="D290" s="31">
        <f t="shared" si="88"/>
        <v>5.4349999999999996</v>
      </c>
      <c r="E290" s="52">
        <v>43342</v>
      </c>
      <c r="F290" s="31"/>
      <c r="G290" s="31">
        <v>1.135</v>
      </c>
      <c r="H290" s="31">
        <v>1.25</v>
      </c>
      <c r="I290" s="31">
        <v>1.3</v>
      </c>
      <c r="J290" s="31"/>
      <c r="K290" s="52">
        <f t="shared" si="70"/>
        <v>79938.901249999995</v>
      </c>
      <c r="L290" s="52">
        <f t="shared" si="87"/>
        <v>519872.61780301243</v>
      </c>
    </row>
    <row r="291" spans="1:12" ht="30" customHeight="1" x14ac:dyDescent="0.2">
      <c r="A291" s="27" t="s">
        <v>2652</v>
      </c>
      <c r="B291" s="27" t="s">
        <v>2653</v>
      </c>
      <c r="C291" s="27"/>
      <c r="D291" s="31">
        <f t="shared" si="88"/>
        <v>6.3019999999999996</v>
      </c>
      <c r="E291" s="52">
        <v>27149</v>
      </c>
      <c r="F291" s="31">
        <v>1.1499999999999999</v>
      </c>
      <c r="G291" s="31">
        <v>1.22</v>
      </c>
      <c r="H291" s="31">
        <v>1.25</v>
      </c>
      <c r="I291" s="31">
        <v>1.3</v>
      </c>
      <c r="J291" s="31">
        <v>1.0777000000000001</v>
      </c>
      <c r="K291" s="52">
        <f t="shared" si="70"/>
        <v>66705.670934337497</v>
      </c>
      <c r="L291" s="52">
        <f t="shared" si="87"/>
        <v>586578.28873734991</v>
      </c>
    </row>
    <row r="292" spans="1:12" ht="30" customHeight="1" x14ac:dyDescent="0.2">
      <c r="A292" s="27" t="s">
        <v>2654</v>
      </c>
      <c r="B292" s="27" t="s">
        <v>2655</v>
      </c>
      <c r="C292" s="27"/>
      <c r="D292" s="31">
        <f>D291+1.1</f>
        <v>7.4019999999999992</v>
      </c>
      <c r="E292" s="52">
        <v>43342</v>
      </c>
      <c r="F292" s="31"/>
      <c r="G292" s="31">
        <v>1.135</v>
      </c>
      <c r="H292" s="31">
        <v>1.25</v>
      </c>
      <c r="I292" s="31">
        <v>1.3</v>
      </c>
      <c r="J292" s="31"/>
      <c r="K292" s="52">
        <f t="shared" si="70"/>
        <v>79938.901249999995</v>
      </c>
      <c r="L292" s="52">
        <f t="shared" si="87"/>
        <v>666517.18998734991</v>
      </c>
    </row>
    <row r="293" spans="1:12" ht="30" customHeight="1" x14ac:dyDescent="0.2">
      <c r="A293" s="27" t="s">
        <v>2656</v>
      </c>
      <c r="B293" s="27" t="s">
        <v>2657</v>
      </c>
      <c r="C293" s="27"/>
      <c r="D293" s="31">
        <f t="shared" ref="D293:D295" si="89">D292+0.867</f>
        <v>8.2689999999999984</v>
      </c>
      <c r="E293" s="52">
        <v>27149</v>
      </c>
      <c r="F293" s="31">
        <v>1.1499999999999999</v>
      </c>
      <c r="G293" s="31">
        <v>1.22</v>
      </c>
      <c r="H293" s="31">
        <v>1.25</v>
      </c>
      <c r="I293" s="31">
        <v>1.3</v>
      </c>
      <c r="J293" s="31">
        <v>1.0777000000000001</v>
      </c>
      <c r="K293" s="52">
        <f t="shared" si="70"/>
        <v>66705.670934337497</v>
      </c>
      <c r="L293" s="52">
        <f t="shared" si="87"/>
        <v>733222.86092168745</v>
      </c>
    </row>
    <row r="294" spans="1:12" ht="30" customHeight="1" x14ac:dyDescent="0.2">
      <c r="A294" s="27" t="s">
        <v>2658</v>
      </c>
      <c r="B294" s="27" t="s">
        <v>2659</v>
      </c>
      <c r="C294" s="27"/>
      <c r="D294" s="31">
        <f t="shared" si="89"/>
        <v>9.1359999999999992</v>
      </c>
      <c r="E294" s="52">
        <v>43342</v>
      </c>
      <c r="F294" s="31"/>
      <c r="G294" s="31">
        <v>1.135</v>
      </c>
      <c r="H294" s="31">
        <v>1.25</v>
      </c>
      <c r="I294" s="31">
        <v>1.3</v>
      </c>
      <c r="J294" s="31"/>
      <c r="K294" s="52">
        <f t="shared" si="70"/>
        <v>79938.901249999995</v>
      </c>
      <c r="L294" s="52">
        <f t="shared" si="87"/>
        <v>813161.76217168744</v>
      </c>
    </row>
    <row r="295" spans="1:12" ht="30" customHeight="1" x14ac:dyDescent="0.2">
      <c r="A295" s="27" t="s">
        <v>2660</v>
      </c>
      <c r="B295" s="27" t="s">
        <v>2661</v>
      </c>
      <c r="C295" s="27"/>
      <c r="D295" s="31">
        <f t="shared" si="89"/>
        <v>10.003</v>
      </c>
      <c r="E295" s="52">
        <v>27149</v>
      </c>
      <c r="F295" s="31">
        <v>1.1499999999999999</v>
      </c>
      <c r="G295" s="31">
        <v>1.22</v>
      </c>
      <c r="H295" s="31">
        <v>1.25</v>
      </c>
      <c r="I295" s="31">
        <v>1.3</v>
      </c>
      <c r="J295" s="31">
        <v>1.0777000000000001</v>
      </c>
      <c r="K295" s="52">
        <f t="shared" si="70"/>
        <v>66705.670934337497</v>
      </c>
      <c r="L295" s="52">
        <f t="shared" si="87"/>
        <v>879867.43310602498</v>
      </c>
    </row>
    <row r="296" spans="1:12" ht="30" customHeight="1" x14ac:dyDescent="0.2">
      <c r="A296" s="27" t="s">
        <v>2662</v>
      </c>
      <c r="B296" s="27" t="s">
        <v>2663</v>
      </c>
      <c r="C296" s="27"/>
      <c r="D296" s="31">
        <f>D295+1.1</f>
        <v>11.103</v>
      </c>
      <c r="E296" s="52">
        <v>43342</v>
      </c>
      <c r="F296" s="31"/>
      <c r="G296" s="31">
        <v>1.135</v>
      </c>
      <c r="H296" s="31">
        <v>1.25</v>
      </c>
      <c r="I296" s="31">
        <v>1.3</v>
      </c>
      <c r="J296" s="31"/>
      <c r="K296" s="52">
        <f t="shared" si="70"/>
        <v>79938.901249999995</v>
      </c>
      <c r="L296" s="52">
        <f t="shared" si="87"/>
        <v>959806.33435602498</v>
      </c>
    </row>
    <row r="297" spans="1:12" ht="30" customHeight="1" x14ac:dyDescent="0.2">
      <c r="A297" s="27" t="s">
        <v>2664</v>
      </c>
      <c r="B297" s="27" t="s">
        <v>2665</v>
      </c>
      <c r="C297" s="27"/>
      <c r="D297" s="31">
        <f t="shared" ref="D297:D299" si="90">D296+0.867</f>
        <v>11.969999999999999</v>
      </c>
      <c r="E297" s="52">
        <v>27149</v>
      </c>
      <c r="F297" s="31">
        <v>1.1499999999999999</v>
      </c>
      <c r="G297" s="31">
        <v>1.22</v>
      </c>
      <c r="H297" s="31">
        <v>1.25</v>
      </c>
      <c r="I297" s="31">
        <v>1.3</v>
      </c>
      <c r="J297" s="31">
        <v>1.0777000000000001</v>
      </c>
      <c r="K297" s="52">
        <f t="shared" si="70"/>
        <v>66705.670934337497</v>
      </c>
      <c r="L297" s="52">
        <f t="shared" si="87"/>
        <v>1026512.0052903625</v>
      </c>
    </row>
    <row r="298" spans="1:12" ht="30" customHeight="1" x14ac:dyDescent="0.2">
      <c r="A298" s="27" t="s">
        <v>2666</v>
      </c>
      <c r="B298" s="27" t="s">
        <v>2667</v>
      </c>
      <c r="C298" s="27"/>
      <c r="D298" s="31">
        <f t="shared" si="90"/>
        <v>12.837</v>
      </c>
      <c r="E298" s="52">
        <v>43342</v>
      </c>
      <c r="F298" s="31"/>
      <c r="G298" s="31">
        <v>1.135</v>
      </c>
      <c r="H298" s="31">
        <v>1.25</v>
      </c>
      <c r="I298" s="31">
        <v>1.3</v>
      </c>
      <c r="J298" s="31"/>
      <c r="K298" s="52">
        <f t="shared" si="70"/>
        <v>79938.901249999995</v>
      </c>
      <c r="L298" s="52">
        <f t="shared" si="87"/>
        <v>1106450.9065403626</v>
      </c>
    </row>
    <row r="299" spans="1:12" ht="30" customHeight="1" x14ac:dyDescent="0.2">
      <c r="A299" s="27" t="s">
        <v>2668</v>
      </c>
      <c r="B299" s="27" t="s">
        <v>2669</v>
      </c>
      <c r="C299" s="27"/>
      <c r="D299" s="31">
        <f t="shared" si="90"/>
        <v>13.704000000000001</v>
      </c>
      <c r="E299" s="52">
        <v>27149</v>
      </c>
      <c r="F299" s="31">
        <v>1.1499999999999999</v>
      </c>
      <c r="G299" s="31">
        <v>1.22</v>
      </c>
      <c r="H299" s="31">
        <v>1.25</v>
      </c>
      <c r="I299" s="31">
        <v>1.3</v>
      </c>
      <c r="J299" s="31">
        <v>1.0777000000000001</v>
      </c>
      <c r="K299" s="52">
        <f t="shared" si="70"/>
        <v>66705.670934337497</v>
      </c>
      <c r="L299" s="52">
        <f t="shared" si="87"/>
        <v>1173156.5774747001</v>
      </c>
    </row>
    <row r="300" spans="1:12" ht="30" customHeight="1" x14ac:dyDescent="0.2">
      <c r="A300" s="27" t="s">
        <v>2670</v>
      </c>
      <c r="B300" s="27" t="s">
        <v>2671</v>
      </c>
      <c r="C300" s="27"/>
      <c r="D300" s="31">
        <f>D299+1.1</f>
        <v>14.804</v>
      </c>
      <c r="E300" s="52">
        <v>43342</v>
      </c>
      <c r="F300" s="31"/>
      <c r="G300" s="31">
        <v>1.135</v>
      </c>
      <c r="H300" s="31">
        <v>1.25</v>
      </c>
      <c r="I300" s="31">
        <v>1.3</v>
      </c>
      <c r="J300" s="31"/>
      <c r="K300" s="52">
        <f t="shared" si="70"/>
        <v>79938.901249999995</v>
      </c>
      <c r="L300" s="52">
        <f t="shared" si="87"/>
        <v>1253095.4787246999</v>
      </c>
    </row>
    <row r="301" spans="1:12" ht="30" customHeight="1" x14ac:dyDescent="0.2">
      <c r="A301" s="27" t="s">
        <v>2672</v>
      </c>
      <c r="B301" s="27" t="s">
        <v>2673</v>
      </c>
      <c r="C301" s="27"/>
      <c r="D301" s="31">
        <f t="shared" ref="D301:D303" si="91">D300+0.867</f>
        <v>15.670999999999999</v>
      </c>
      <c r="E301" s="52">
        <v>27149</v>
      </c>
      <c r="F301" s="31">
        <v>1.1499999999999999</v>
      </c>
      <c r="G301" s="31">
        <v>1.22</v>
      </c>
      <c r="H301" s="31">
        <v>1.25</v>
      </c>
      <c r="I301" s="31">
        <v>1.3</v>
      </c>
      <c r="J301" s="31">
        <v>1.0777000000000001</v>
      </c>
      <c r="K301" s="52">
        <f t="shared" si="70"/>
        <v>66705.670934337497</v>
      </c>
      <c r="L301" s="52">
        <f t="shared" si="87"/>
        <v>1319801.1496590374</v>
      </c>
    </row>
    <row r="302" spans="1:12" ht="30" customHeight="1" x14ac:dyDescent="0.2">
      <c r="A302" s="27" t="s">
        <v>2674</v>
      </c>
      <c r="B302" s="27" t="s">
        <v>2675</v>
      </c>
      <c r="C302" s="27"/>
      <c r="D302" s="31">
        <f t="shared" si="91"/>
        <v>16.538</v>
      </c>
      <c r="E302" s="52">
        <v>43342</v>
      </c>
      <c r="F302" s="31"/>
      <c r="G302" s="31">
        <v>1.135</v>
      </c>
      <c r="H302" s="31">
        <v>1.25</v>
      </c>
      <c r="I302" s="31">
        <v>1.3</v>
      </c>
      <c r="J302" s="31"/>
      <c r="K302" s="52">
        <f t="shared" si="70"/>
        <v>79938.901249999995</v>
      </c>
      <c r="L302" s="52">
        <f t="shared" si="87"/>
        <v>1399740.0509090372</v>
      </c>
    </row>
    <row r="303" spans="1:12" ht="30" customHeight="1" x14ac:dyDescent="0.2">
      <c r="A303" s="27" t="s">
        <v>2676</v>
      </c>
      <c r="B303" s="27" t="s">
        <v>2677</v>
      </c>
      <c r="C303" s="27"/>
      <c r="D303" s="31">
        <f t="shared" si="91"/>
        <v>17.405000000000001</v>
      </c>
      <c r="E303" s="52">
        <v>27149</v>
      </c>
      <c r="F303" s="31">
        <v>1.1499999999999999</v>
      </c>
      <c r="G303" s="31">
        <v>1.22</v>
      </c>
      <c r="H303" s="31">
        <v>1.25</v>
      </c>
      <c r="I303" s="31">
        <v>1.3</v>
      </c>
      <c r="J303" s="31">
        <v>1.0777000000000001</v>
      </c>
      <c r="K303" s="52">
        <f t="shared" si="70"/>
        <v>66705.670934337497</v>
      </c>
      <c r="L303" s="52">
        <f t="shared" si="87"/>
        <v>1466445.7218433747</v>
      </c>
    </row>
    <row r="304" spans="1:12" ht="30" customHeight="1" x14ac:dyDescent="0.2">
      <c r="A304" s="27" t="s">
        <v>2678</v>
      </c>
      <c r="B304" s="27" t="s">
        <v>2679</v>
      </c>
      <c r="C304" s="27"/>
      <c r="D304" s="31">
        <f>D303+1.1</f>
        <v>18.505000000000003</v>
      </c>
      <c r="E304" s="52">
        <v>43342</v>
      </c>
      <c r="F304" s="31"/>
      <c r="G304" s="31">
        <v>1.135</v>
      </c>
      <c r="H304" s="31">
        <v>1.25</v>
      </c>
      <c r="I304" s="31">
        <v>1.3</v>
      </c>
      <c r="J304" s="31"/>
      <c r="K304" s="52">
        <f t="shared" si="70"/>
        <v>79938.901249999995</v>
      </c>
      <c r="L304" s="52">
        <f t="shared" si="87"/>
        <v>1546384.6230933745</v>
      </c>
    </row>
    <row r="305" spans="1:12" ht="30" customHeight="1" x14ac:dyDescent="0.2">
      <c r="A305" s="27" t="s">
        <v>2680</v>
      </c>
      <c r="B305" s="27" t="s">
        <v>2681</v>
      </c>
      <c r="C305" s="27"/>
      <c r="D305" s="31">
        <f t="shared" ref="D305:D307" si="92">D304+0.867</f>
        <v>19.372000000000003</v>
      </c>
      <c r="E305" s="52">
        <v>27149</v>
      </c>
      <c r="F305" s="31">
        <v>1.1499999999999999</v>
      </c>
      <c r="G305" s="31">
        <v>1.22</v>
      </c>
      <c r="H305" s="31">
        <v>1.25</v>
      </c>
      <c r="I305" s="31">
        <v>1.3</v>
      </c>
      <c r="J305" s="31">
        <v>1.0777000000000001</v>
      </c>
      <c r="K305" s="52">
        <f t="shared" si="70"/>
        <v>66705.670934337497</v>
      </c>
      <c r="L305" s="52">
        <f t="shared" si="87"/>
        <v>1613090.294027712</v>
      </c>
    </row>
    <row r="306" spans="1:12" ht="30" customHeight="1" x14ac:dyDescent="0.2">
      <c r="A306" s="27" t="s">
        <v>2682</v>
      </c>
      <c r="B306" s="27" t="s">
        <v>2683</v>
      </c>
      <c r="C306" s="27"/>
      <c r="D306" s="31">
        <f t="shared" si="92"/>
        <v>20.239000000000004</v>
      </c>
      <c r="E306" s="52">
        <v>43342</v>
      </c>
      <c r="F306" s="31"/>
      <c r="G306" s="31">
        <v>1.135</v>
      </c>
      <c r="H306" s="31">
        <v>1.25</v>
      </c>
      <c r="I306" s="31">
        <v>1.3</v>
      </c>
      <c r="J306" s="31"/>
      <c r="K306" s="52">
        <f t="shared" si="70"/>
        <v>79938.901249999995</v>
      </c>
      <c r="L306" s="52">
        <f t="shared" si="87"/>
        <v>1693029.1952777118</v>
      </c>
    </row>
    <row r="307" spans="1:12" ht="30" customHeight="1" x14ac:dyDescent="0.2">
      <c r="A307" s="27" t="s">
        <v>2684</v>
      </c>
      <c r="B307" s="27" t="s">
        <v>2685</v>
      </c>
      <c r="C307" s="27"/>
      <c r="D307" s="31">
        <f t="shared" si="92"/>
        <v>21.106000000000005</v>
      </c>
      <c r="E307" s="52">
        <v>27149</v>
      </c>
      <c r="F307" s="31">
        <v>1.1499999999999999</v>
      </c>
      <c r="G307" s="31">
        <v>1.22</v>
      </c>
      <c r="H307" s="31">
        <v>1.25</v>
      </c>
      <c r="I307" s="31">
        <v>1.3</v>
      </c>
      <c r="J307" s="31">
        <v>1.0777000000000001</v>
      </c>
      <c r="K307" s="52">
        <f t="shared" si="70"/>
        <v>66705.670934337497</v>
      </c>
      <c r="L307" s="52">
        <f t="shared" si="87"/>
        <v>1759734.8662120493</v>
      </c>
    </row>
    <row r="308" spans="1:12" ht="30" customHeight="1" x14ac:dyDescent="0.2">
      <c r="A308" s="27" t="s">
        <v>2686</v>
      </c>
      <c r="B308" s="27" t="s">
        <v>2687</v>
      </c>
      <c r="C308" s="27"/>
      <c r="D308" s="31">
        <f>D307+1.1</f>
        <v>22.206000000000007</v>
      </c>
      <c r="E308" s="52">
        <v>43342</v>
      </c>
      <c r="F308" s="31"/>
      <c r="G308" s="31">
        <v>1.135</v>
      </c>
      <c r="H308" s="31">
        <v>1.25</v>
      </c>
      <c r="I308" s="31">
        <v>1.3</v>
      </c>
      <c r="J308" s="31"/>
      <c r="K308" s="52">
        <f t="shared" si="70"/>
        <v>79938.901249999995</v>
      </c>
      <c r="L308" s="52">
        <f t="shared" si="87"/>
        <v>1839673.7674620491</v>
      </c>
    </row>
    <row r="309" spans="1:12" ht="30" customHeight="1" x14ac:dyDescent="0.2">
      <c r="A309" s="27" t="s">
        <v>2688</v>
      </c>
      <c r="B309" s="27" t="s">
        <v>2689</v>
      </c>
      <c r="C309" s="27"/>
      <c r="D309" s="31">
        <f t="shared" ref="D309:D311" si="93">D308+0.867</f>
        <v>23.073000000000008</v>
      </c>
      <c r="E309" s="52">
        <v>27149</v>
      </c>
      <c r="F309" s="31">
        <v>1.1499999999999999</v>
      </c>
      <c r="G309" s="31">
        <v>1.22</v>
      </c>
      <c r="H309" s="31">
        <v>1.25</v>
      </c>
      <c r="I309" s="31">
        <v>1.3</v>
      </c>
      <c r="J309" s="31">
        <v>1.0777000000000001</v>
      </c>
      <c r="K309" s="52">
        <f t="shared" si="70"/>
        <v>66705.670934337497</v>
      </c>
      <c r="L309" s="52">
        <f t="shared" si="87"/>
        <v>1906379.4383963866</v>
      </c>
    </row>
    <row r="310" spans="1:12" ht="30" customHeight="1" x14ac:dyDescent="0.2">
      <c r="A310" s="27" t="s">
        <v>2690</v>
      </c>
      <c r="B310" s="27" t="s">
        <v>2691</v>
      </c>
      <c r="C310" s="27"/>
      <c r="D310" s="31">
        <f t="shared" si="93"/>
        <v>23.940000000000008</v>
      </c>
      <c r="E310" s="52">
        <v>43342</v>
      </c>
      <c r="F310" s="31"/>
      <c r="G310" s="31">
        <v>1.135</v>
      </c>
      <c r="H310" s="31">
        <v>1.25</v>
      </c>
      <c r="I310" s="31">
        <v>1.3</v>
      </c>
      <c r="J310" s="31"/>
      <c r="K310" s="52">
        <f t="shared" si="70"/>
        <v>79938.901249999995</v>
      </c>
      <c r="L310" s="52">
        <f t="shared" si="87"/>
        <v>1986318.3396463864</v>
      </c>
    </row>
    <row r="311" spans="1:12" ht="30" customHeight="1" x14ac:dyDescent="0.2">
      <c r="A311" s="27" t="s">
        <v>2692</v>
      </c>
      <c r="B311" s="27" t="s">
        <v>2693</v>
      </c>
      <c r="C311" s="27"/>
      <c r="D311" s="31">
        <f t="shared" si="93"/>
        <v>24.807000000000009</v>
      </c>
      <c r="E311" s="52">
        <v>27149</v>
      </c>
      <c r="F311" s="31">
        <v>1.1499999999999999</v>
      </c>
      <c r="G311" s="31">
        <v>1.22</v>
      </c>
      <c r="H311" s="31">
        <v>1.25</v>
      </c>
      <c r="I311" s="31">
        <v>1.3</v>
      </c>
      <c r="J311" s="31">
        <v>1.0777000000000001</v>
      </c>
      <c r="K311" s="52">
        <f t="shared" si="70"/>
        <v>66705.670934337497</v>
      </c>
      <c r="L311" s="52">
        <f t="shared" si="87"/>
        <v>2053024.0105807239</v>
      </c>
    </row>
    <row r="312" spans="1:12" ht="30" customHeight="1" x14ac:dyDescent="0.2">
      <c r="A312" s="27" t="s">
        <v>2694</v>
      </c>
      <c r="B312" s="27" t="s">
        <v>2695</v>
      </c>
      <c r="C312" s="27"/>
      <c r="D312" s="31">
        <f>D311+1.1</f>
        <v>25.907000000000011</v>
      </c>
      <c r="E312" s="52">
        <v>43342</v>
      </c>
      <c r="F312" s="31"/>
      <c r="G312" s="31">
        <v>1.135</v>
      </c>
      <c r="H312" s="31">
        <v>1.25</v>
      </c>
      <c r="I312" s="31">
        <v>1.3</v>
      </c>
      <c r="J312" s="31"/>
      <c r="K312" s="52">
        <f t="shared" si="70"/>
        <v>79938.901249999995</v>
      </c>
      <c r="L312" s="52">
        <f t="shared" si="87"/>
        <v>2132962.9118307238</v>
      </c>
    </row>
    <row r="313" spans="1:12" ht="30" customHeight="1" x14ac:dyDescent="0.2">
      <c r="A313" s="27" t="s">
        <v>2696</v>
      </c>
      <c r="B313" s="27" t="s">
        <v>2697</v>
      </c>
      <c r="C313" s="27"/>
      <c r="D313" s="31">
        <f t="shared" ref="D313:D315" si="94">D312+0.867</f>
        <v>26.774000000000012</v>
      </c>
      <c r="E313" s="52">
        <v>27149</v>
      </c>
      <c r="F313" s="31">
        <v>1.1499999999999999</v>
      </c>
      <c r="G313" s="31">
        <v>1.22</v>
      </c>
      <c r="H313" s="31">
        <v>1.25</v>
      </c>
      <c r="I313" s="31">
        <v>1.3</v>
      </c>
      <c r="J313" s="31">
        <v>1.0777000000000001</v>
      </c>
      <c r="K313" s="52">
        <f t="shared" si="70"/>
        <v>66705.670934337497</v>
      </c>
      <c r="L313" s="52">
        <f t="shared" si="87"/>
        <v>2199668.5827650614</v>
      </c>
    </row>
    <row r="314" spans="1:12" ht="30" customHeight="1" x14ac:dyDescent="0.2">
      <c r="A314" s="27" t="s">
        <v>2698</v>
      </c>
      <c r="B314" s="27" t="s">
        <v>2699</v>
      </c>
      <c r="C314" s="27"/>
      <c r="D314" s="31">
        <f t="shared" si="94"/>
        <v>27.641000000000012</v>
      </c>
      <c r="E314" s="52">
        <v>43342</v>
      </c>
      <c r="F314" s="31"/>
      <c r="G314" s="31">
        <v>1.135</v>
      </c>
      <c r="H314" s="31">
        <v>1.25</v>
      </c>
      <c r="I314" s="31">
        <v>1.3</v>
      </c>
      <c r="J314" s="31"/>
      <c r="K314" s="52">
        <f t="shared" si="70"/>
        <v>79938.901249999995</v>
      </c>
      <c r="L314" s="52">
        <f t="shared" si="87"/>
        <v>2279607.4840150615</v>
      </c>
    </row>
    <row r="315" spans="1:12" ht="30" customHeight="1" x14ac:dyDescent="0.2">
      <c r="A315" s="27" t="s">
        <v>2700</v>
      </c>
      <c r="B315" s="27" t="s">
        <v>2701</v>
      </c>
      <c r="C315" s="27"/>
      <c r="D315" s="31">
        <f t="shared" si="94"/>
        <v>28.508000000000013</v>
      </c>
      <c r="E315" s="52">
        <v>27149</v>
      </c>
      <c r="F315" s="31">
        <v>1.1499999999999999</v>
      </c>
      <c r="G315" s="31">
        <v>1.22</v>
      </c>
      <c r="H315" s="31">
        <v>1.25</v>
      </c>
      <c r="I315" s="31">
        <v>1.3</v>
      </c>
      <c r="J315" s="31">
        <v>1.0777000000000001</v>
      </c>
      <c r="K315" s="52">
        <f t="shared" si="70"/>
        <v>66705.670934337497</v>
      </c>
      <c r="L315" s="52">
        <f t="shared" si="87"/>
        <v>2346313.1549493992</v>
      </c>
    </row>
    <row r="316" spans="1:12" ht="30" customHeight="1" x14ac:dyDescent="0.2">
      <c r="A316" s="27" t="s">
        <v>2702</v>
      </c>
      <c r="B316" s="27" t="s">
        <v>2703</v>
      </c>
      <c r="C316" s="27"/>
      <c r="D316" s="31">
        <f>D315+1.1</f>
        <v>29.608000000000015</v>
      </c>
      <c r="E316" s="52">
        <v>43342</v>
      </c>
      <c r="F316" s="31"/>
      <c r="G316" s="31">
        <v>1.135</v>
      </c>
      <c r="H316" s="31">
        <v>1.25</v>
      </c>
      <c r="I316" s="31">
        <v>1.3</v>
      </c>
      <c r="J316" s="31"/>
      <c r="K316" s="52">
        <f t="shared" si="70"/>
        <v>79938.901249999995</v>
      </c>
      <c r="L316" s="52">
        <f t="shared" si="87"/>
        <v>2426252.0561993993</v>
      </c>
    </row>
    <row r="317" spans="1:12" ht="30" customHeight="1" x14ac:dyDescent="0.2">
      <c r="A317" s="27" t="s">
        <v>2704</v>
      </c>
      <c r="B317" s="27" t="s">
        <v>2705</v>
      </c>
      <c r="C317" s="27"/>
      <c r="D317" s="31">
        <f t="shared" ref="D317:D319" si="95">D316+0.867</f>
        <v>30.475000000000016</v>
      </c>
      <c r="E317" s="52">
        <v>27149</v>
      </c>
      <c r="F317" s="31">
        <v>1.1499999999999999</v>
      </c>
      <c r="G317" s="31">
        <v>1.22</v>
      </c>
      <c r="H317" s="31">
        <v>1.25</v>
      </c>
      <c r="I317" s="31">
        <v>1.3</v>
      </c>
      <c r="J317" s="31">
        <v>1.0777000000000001</v>
      </c>
      <c r="K317" s="52">
        <f t="shared" si="70"/>
        <v>66705.670934337497</v>
      </c>
      <c r="L317" s="52">
        <f t="shared" si="87"/>
        <v>2492957.7271337369</v>
      </c>
    </row>
    <row r="318" spans="1:12" ht="30" customHeight="1" x14ac:dyDescent="0.2">
      <c r="A318" s="27" t="s">
        <v>2706</v>
      </c>
      <c r="B318" s="27" t="s">
        <v>2707</v>
      </c>
      <c r="C318" s="27"/>
      <c r="D318" s="31">
        <f t="shared" si="95"/>
        <v>31.342000000000017</v>
      </c>
      <c r="E318" s="52">
        <v>43342</v>
      </c>
      <c r="F318" s="31"/>
      <c r="G318" s="31">
        <v>1.135</v>
      </c>
      <c r="H318" s="31">
        <v>1.25</v>
      </c>
      <c r="I318" s="31">
        <v>1.3</v>
      </c>
      <c r="J318" s="31"/>
      <c r="K318" s="52">
        <f t="shared" si="70"/>
        <v>79938.901249999995</v>
      </c>
      <c r="L318" s="52">
        <f t="shared" si="87"/>
        <v>2572896.6283837371</v>
      </c>
    </row>
    <row r="319" spans="1:12" ht="30" customHeight="1" x14ac:dyDescent="0.2">
      <c r="A319" s="27" t="s">
        <v>2708</v>
      </c>
      <c r="B319" s="27" t="s">
        <v>2709</v>
      </c>
      <c r="C319" s="27"/>
      <c r="D319" s="31">
        <f t="shared" si="95"/>
        <v>32.209000000000017</v>
      </c>
      <c r="E319" s="52">
        <v>27149</v>
      </c>
      <c r="F319" s="31">
        <v>1.1499999999999999</v>
      </c>
      <c r="G319" s="31">
        <v>1.22</v>
      </c>
      <c r="H319" s="31">
        <v>1.25</v>
      </c>
      <c r="I319" s="31">
        <v>1.3</v>
      </c>
      <c r="J319" s="31">
        <v>1.0777000000000001</v>
      </c>
      <c r="K319" s="52">
        <f t="shared" si="70"/>
        <v>66705.670934337497</v>
      </c>
      <c r="L319" s="52">
        <f t="shared" si="87"/>
        <v>2639602.2993180747</v>
      </c>
    </row>
    <row r="320" spans="1:12" ht="30" customHeight="1" x14ac:dyDescent="0.2">
      <c r="A320" s="27" t="s">
        <v>2710</v>
      </c>
      <c r="B320" s="27" t="s">
        <v>2711</v>
      </c>
      <c r="C320" s="27"/>
      <c r="D320" s="31">
        <f>D319+1.1</f>
        <v>33.309000000000019</v>
      </c>
      <c r="E320" s="52">
        <v>43342</v>
      </c>
      <c r="F320" s="31"/>
      <c r="G320" s="31">
        <v>1.135</v>
      </c>
      <c r="H320" s="31">
        <v>1.25</v>
      </c>
      <c r="I320" s="31">
        <v>1.3</v>
      </c>
      <c r="J320" s="31"/>
      <c r="K320" s="52">
        <f t="shared" si="70"/>
        <v>79938.901249999995</v>
      </c>
      <c r="L320" s="52">
        <f t="shared" si="87"/>
        <v>2719541.2005680748</v>
      </c>
    </row>
    <row r="321" spans="1:12" ht="30" customHeight="1" x14ac:dyDescent="0.2">
      <c r="A321" s="27" t="s">
        <v>2712</v>
      </c>
      <c r="B321" s="27" t="s">
        <v>2713</v>
      </c>
      <c r="C321" s="27"/>
      <c r="D321" s="31">
        <f t="shared" ref="D321:D323" si="96">D320+0.867</f>
        <v>34.176000000000016</v>
      </c>
      <c r="E321" s="52">
        <v>27149</v>
      </c>
      <c r="F321" s="31">
        <v>1.1499999999999999</v>
      </c>
      <c r="G321" s="31">
        <v>1.22</v>
      </c>
      <c r="H321" s="31">
        <v>1.25</v>
      </c>
      <c r="I321" s="31">
        <v>1.3</v>
      </c>
      <c r="J321" s="31">
        <v>1.0777000000000001</v>
      </c>
      <c r="K321" s="52">
        <f t="shared" si="70"/>
        <v>66705.670934337497</v>
      </c>
      <c r="L321" s="52">
        <f t="shared" si="87"/>
        <v>2786246.8715024125</v>
      </c>
    </row>
    <row r="322" spans="1:12" ht="30" customHeight="1" x14ac:dyDescent="0.2">
      <c r="A322" s="27" t="s">
        <v>2714</v>
      </c>
      <c r="B322" s="27" t="s">
        <v>2715</v>
      </c>
      <c r="C322" s="27"/>
      <c r="D322" s="31">
        <f t="shared" si="96"/>
        <v>35.043000000000013</v>
      </c>
      <c r="E322" s="52">
        <v>43342</v>
      </c>
      <c r="F322" s="31"/>
      <c r="G322" s="31">
        <v>1.135</v>
      </c>
      <c r="H322" s="31">
        <v>1.25</v>
      </c>
      <c r="I322" s="31">
        <v>1.3</v>
      </c>
      <c r="J322" s="31"/>
      <c r="K322" s="52">
        <f t="shared" si="70"/>
        <v>79938.901249999995</v>
      </c>
      <c r="L322" s="52">
        <f t="shared" si="87"/>
        <v>2866185.7727524126</v>
      </c>
    </row>
    <row r="323" spans="1:12" ht="30" customHeight="1" x14ac:dyDescent="0.2">
      <c r="A323" s="27" t="s">
        <v>2716</v>
      </c>
      <c r="B323" s="27" t="s">
        <v>2717</v>
      </c>
      <c r="C323" s="27"/>
      <c r="D323" s="31">
        <f t="shared" si="96"/>
        <v>35.910000000000011</v>
      </c>
      <c r="E323" s="52">
        <v>27149</v>
      </c>
      <c r="F323" s="31">
        <v>1.1499999999999999</v>
      </c>
      <c r="G323" s="31">
        <v>1.22</v>
      </c>
      <c r="H323" s="31">
        <v>1.25</v>
      </c>
      <c r="I323" s="31">
        <v>1.3</v>
      </c>
      <c r="J323" s="31">
        <v>1.0777000000000001</v>
      </c>
      <c r="K323" s="52">
        <f t="shared" si="70"/>
        <v>66705.670934337497</v>
      </c>
      <c r="L323" s="52">
        <f t="shared" si="87"/>
        <v>2932891.4436867503</v>
      </c>
    </row>
    <row r="324" spans="1:12" ht="30" customHeight="1" x14ac:dyDescent="0.2">
      <c r="A324" s="27" t="s">
        <v>2718</v>
      </c>
      <c r="B324" s="27" t="s">
        <v>2719</v>
      </c>
      <c r="C324" s="27"/>
      <c r="D324" s="31">
        <f>D323+1.1</f>
        <v>37.010000000000012</v>
      </c>
      <c r="E324" s="52">
        <v>43342</v>
      </c>
      <c r="F324" s="31"/>
      <c r="G324" s="31">
        <v>1.135</v>
      </c>
      <c r="H324" s="31">
        <v>1.25</v>
      </c>
      <c r="I324" s="31">
        <v>1.3</v>
      </c>
      <c r="J324" s="31"/>
      <c r="K324" s="52">
        <f t="shared" si="70"/>
        <v>79938.901249999995</v>
      </c>
      <c r="L324" s="52">
        <f t="shared" si="87"/>
        <v>3012830.3449367504</v>
      </c>
    </row>
    <row r="325" spans="1:12" ht="30" customHeight="1" x14ac:dyDescent="0.2">
      <c r="A325" s="27" t="s">
        <v>2720</v>
      </c>
      <c r="B325" s="27" t="s">
        <v>2721</v>
      </c>
      <c r="C325" s="27"/>
      <c r="D325" s="31">
        <f t="shared" ref="D325:D326" si="97">D324+0.867</f>
        <v>37.87700000000001</v>
      </c>
      <c r="E325" s="52">
        <v>27149</v>
      </c>
      <c r="F325" s="31">
        <v>1.1499999999999999</v>
      </c>
      <c r="G325" s="31">
        <v>1.22</v>
      </c>
      <c r="H325" s="31">
        <v>1.25</v>
      </c>
      <c r="I325" s="31">
        <v>1.3</v>
      </c>
      <c r="J325" s="31">
        <v>1.0777000000000001</v>
      </c>
      <c r="K325" s="52">
        <f t="shared" si="70"/>
        <v>66705.670934337497</v>
      </c>
      <c r="L325" s="52">
        <f t="shared" si="87"/>
        <v>3079536.015871088</v>
      </c>
    </row>
    <row r="326" spans="1:12" ht="30" customHeight="1" x14ac:dyDescent="0.2">
      <c r="A326" s="27" t="s">
        <v>2722</v>
      </c>
      <c r="B326" s="27" t="s">
        <v>2723</v>
      </c>
      <c r="C326" s="27"/>
      <c r="D326" s="31">
        <f t="shared" si="97"/>
        <v>38.744000000000007</v>
      </c>
      <c r="E326" s="52">
        <v>43342</v>
      </c>
      <c r="F326" s="31"/>
      <c r="G326" s="31">
        <v>1.135</v>
      </c>
      <c r="H326" s="31">
        <v>1.25</v>
      </c>
      <c r="I326" s="31">
        <v>1.3</v>
      </c>
      <c r="J326" s="31"/>
      <c r="K326" s="52">
        <f t="shared" si="70"/>
        <v>79938.901249999995</v>
      </c>
      <c r="L326" s="52">
        <f t="shared" si="87"/>
        <v>3159474.9171210881</v>
      </c>
    </row>
    <row r="327" spans="1:12" ht="30" customHeight="1" x14ac:dyDescent="0.2">
      <c r="A327" s="27" t="s">
        <v>2724</v>
      </c>
      <c r="B327" s="27" t="s">
        <v>2242</v>
      </c>
      <c r="C327" s="27"/>
      <c r="D327" s="31">
        <v>0.3</v>
      </c>
      <c r="E327" s="52">
        <f t="shared" ref="E327:E335" si="98">(95924-(17284*0.1))*1.0625</f>
        <v>100082.82500000001</v>
      </c>
      <c r="F327" s="31"/>
      <c r="G327" s="31">
        <v>1.22</v>
      </c>
      <c r="H327" s="31">
        <v>1.25</v>
      </c>
      <c r="I327" s="31">
        <v>1.3</v>
      </c>
      <c r="J327" s="31"/>
      <c r="K327" s="52">
        <f t="shared" si="70"/>
        <v>198414.20056250002</v>
      </c>
      <c r="L327" s="52">
        <f>K327</f>
        <v>198414.20056250002</v>
      </c>
    </row>
    <row r="328" spans="1:12" ht="30" customHeight="1" x14ac:dyDescent="0.2">
      <c r="A328" s="27" t="s">
        <v>2725</v>
      </c>
      <c r="B328" s="27" t="s">
        <v>2244</v>
      </c>
      <c r="C328" s="27"/>
      <c r="D328" s="31">
        <f t="shared" ref="D328:D335" si="99">D327+2.116</f>
        <v>2.4159999999999999</v>
      </c>
      <c r="E328" s="52">
        <f t="shared" si="98"/>
        <v>100082.82500000001</v>
      </c>
      <c r="F328" s="31"/>
      <c r="G328" s="31">
        <v>1.22</v>
      </c>
      <c r="H328" s="31">
        <v>1.25</v>
      </c>
      <c r="I328" s="31">
        <v>1.3</v>
      </c>
      <c r="J328" s="31"/>
      <c r="K328" s="52">
        <f t="shared" si="70"/>
        <v>198414.20056250002</v>
      </c>
      <c r="L328" s="52">
        <f t="shared" ref="L328:L335" si="100">K328+L327</f>
        <v>396828.40112500003</v>
      </c>
    </row>
    <row r="329" spans="1:12" ht="30" customHeight="1" x14ac:dyDescent="0.2">
      <c r="A329" s="27" t="s">
        <v>2726</v>
      </c>
      <c r="B329" s="27" t="s">
        <v>2246</v>
      </c>
      <c r="C329" s="27"/>
      <c r="D329" s="31">
        <f t="shared" si="99"/>
        <v>4.532</v>
      </c>
      <c r="E329" s="52">
        <f t="shared" si="98"/>
        <v>100082.82500000001</v>
      </c>
      <c r="F329" s="31"/>
      <c r="G329" s="31">
        <v>1.22</v>
      </c>
      <c r="H329" s="31">
        <v>1.25</v>
      </c>
      <c r="I329" s="31">
        <v>1.3</v>
      </c>
      <c r="J329" s="31"/>
      <c r="K329" s="52">
        <f t="shared" si="70"/>
        <v>198414.20056250002</v>
      </c>
      <c r="L329" s="52">
        <f t="shared" si="100"/>
        <v>595242.60168750002</v>
      </c>
    </row>
    <row r="330" spans="1:12" ht="30" customHeight="1" x14ac:dyDescent="0.2">
      <c r="A330" s="27" t="s">
        <v>2727</v>
      </c>
      <c r="B330" s="27" t="s">
        <v>2248</v>
      </c>
      <c r="C330" s="27"/>
      <c r="D330" s="31">
        <f t="shared" si="99"/>
        <v>6.6479999999999997</v>
      </c>
      <c r="E330" s="52">
        <f t="shared" si="98"/>
        <v>100082.82500000001</v>
      </c>
      <c r="F330" s="31"/>
      <c r="G330" s="31">
        <v>1.22</v>
      </c>
      <c r="H330" s="31">
        <v>1.25</v>
      </c>
      <c r="I330" s="31">
        <v>1.3</v>
      </c>
      <c r="J330" s="31"/>
      <c r="K330" s="52">
        <f t="shared" si="70"/>
        <v>198414.20056250002</v>
      </c>
      <c r="L330" s="52">
        <f t="shared" si="100"/>
        <v>793656.80225000007</v>
      </c>
    </row>
    <row r="331" spans="1:12" ht="30" customHeight="1" x14ac:dyDescent="0.2">
      <c r="A331" s="27" t="s">
        <v>2728</v>
      </c>
      <c r="B331" s="27" t="s">
        <v>2250</v>
      </c>
      <c r="C331" s="27"/>
      <c r="D331" s="31">
        <f t="shared" si="99"/>
        <v>8.7639999999999993</v>
      </c>
      <c r="E331" s="52">
        <f t="shared" si="98"/>
        <v>100082.82500000001</v>
      </c>
      <c r="F331" s="31"/>
      <c r="G331" s="31">
        <v>1.22</v>
      </c>
      <c r="H331" s="31">
        <v>1.25</v>
      </c>
      <c r="I331" s="31">
        <v>1.3</v>
      </c>
      <c r="J331" s="31"/>
      <c r="K331" s="52">
        <f t="shared" si="70"/>
        <v>198414.20056250002</v>
      </c>
      <c r="L331" s="52">
        <f t="shared" si="100"/>
        <v>992071.00281250011</v>
      </c>
    </row>
    <row r="332" spans="1:12" ht="30" customHeight="1" x14ac:dyDescent="0.2">
      <c r="A332" s="27" t="s">
        <v>2729</v>
      </c>
      <c r="B332" s="27" t="s">
        <v>2291</v>
      </c>
      <c r="C332" s="27"/>
      <c r="D332" s="31">
        <f t="shared" si="99"/>
        <v>10.879999999999999</v>
      </c>
      <c r="E332" s="52">
        <f t="shared" si="98"/>
        <v>100082.82500000001</v>
      </c>
      <c r="F332" s="31"/>
      <c r="G332" s="31">
        <v>1.22</v>
      </c>
      <c r="H332" s="31">
        <v>1.25</v>
      </c>
      <c r="I332" s="31">
        <v>1.3</v>
      </c>
      <c r="J332" s="31"/>
      <c r="K332" s="52">
        <f t="shared" si="70"/>
        <v>198414.20056250002</v>
      </c>
      <c r="L332" s="52">
        <f t="shared" si="100"/>
        <v>1190485.203375</v>
      </c>
    </row>
    <row r="333" spans="1:12" ht="30" customHeight="1" x14ac:dyDescent="0.2">
      <c r="A333" s="27" t="s">
        <v>2730</v>
      </c>
      <c r="B333" s="27" t="s">
        <v>2254</v>
      </c>
      <c r="C333" s="27"/>
      <c r="D333" s="31">
        <f t="shared" si="99"/>
        <v>12.995999999999999</v>
      </c>
      <c r="E333" s="52">
        <f t="shared" si="98"/>
        <v>100082.82500000001</v>
      </c>
      <c r="F333" s="31"/>
      <c r="G333" s="31">
        <v>1.22</v>
      </c>
      <c r="H333" s="31">
        <v>1.25</v>
      </c>
      <c r="I333" s="31">
        <v>1.3</v>
      </c>
      <c r="J333" s="31"/>
      <c r="K333" s="52">
        <f t="shared" si="70"/>
        <v>198414.20056250002</v>
      </c>
      <c r="L333" s="52">
        <f t="shared" si="100"/>
        <v>1388899.4039375</v>
      </c>
    </row>
    <row r="334" spans="1:12" ht="30" customHeight="1" x14ac:dyDescent="0.2">
      <c r="A334" s="27" t="s">
        <v>2731</v>
      </c>
      <c r="B334" s="27" t="s">
        <v>2256</v>
      </c>
      <c r="C334" s="27"/>
      <c r="D334" s="31">
        <f t="shared" si="99"/>
        <v>15.111999999999998</v>
      </c>
      <c r="E334" s="52">
        <f t="shared" si="98"/>
        <v>100082.82500000001</v>
      </c>
      <c r="F334" s="31"/>
      <c r="G334" s="31">
        <v>1.22</v>
      </c>
      <c r="H334" s="31">
        <v>1.25</v>
      </c>
      <c r="I334" s="31">
        <v>1.3</v>
      </c>
      <c r="J334" s="31"/>
      <c r="K334" s="52">
        <f t="shared" si="70"/>
        <v>198414.20056250002</v>
      </c>
      <c r="L334" s="52">
        <f t="shared" si="100"/>
        <v>1587313.6044999999</v>
      </c>
    </row>
    <row r="335" spans="1:12" ht="30" customHeight="1" x14ac:dyDescent="0.2">
      <c r="A335" s="27" t="s">
        <v>2732</v>
      </c>
      <c r="B335" s="27" t="s">
        <v>2258</v>
      </c>
      <c r="C335" s="27"/>
      <c r="D335" s="31">
        <f t="shared" si="99"/>
        <v>17.227999999999998</v>
      </c>
      <c r="E335" s="52">
        <f t="shared" si="98"/>
        <v>100082.82500000001</v>
      </c>
      <c r="F335" s="31"/>
      <c r="G335" s="31">
        <v>1.22</v>
      </c>
      <c r="H335" s="31">
        <v>1.25</v>
      </c>
      <c r="I335" s="31">
        <v>1.3</v>
      </c>
      <c r="J335" s="31"/>
      <c r="K335" s="52">
        <f t="shared" si="70"/>
        <v>198414.20056250002</v>
      </c>
      <c r="L335" s="52">
        <f t="shared" si="100"/>
        <v>1785727.8050624998</v>
      </c>
    </row>
    <row r="336" spans="1:12" ht="30" customHeight="1" x14ac:dyDescent="0.2">
      <c r="A336" s="27" t="s">
        <v>2733</v>
      </c>
      <c r="B336" s="27" t="s">
        <v>2540</v>
      </c>
      <c r="C336" s="27"/>
      <c r="D336" s="31">
        <v>4.1159999999999997</v>
      </c>
      <c r="E336" s="52">
        <v>128310</v>
      </c>
      <c r="F336" s="31">
        <v>1.4175</v>
      </c>
      <c r="G336" s="31">
        <v>1.22</v>
      </c>
      <c r="H336" s="31">
        <v>1.25</v>
      </c>
      <c r="I336" s="31">
        <v>1.3</v>
      </c>
      <c r="J336" s="31">
        <v>1.0777000000000001</v>
      </c>
      <c r="K336" s="52">
        <f t="shared" si="70"/>
        <v>388592.71215935628</v>
      </c>
      <c r="L336" s="52">
        <f>K336</f>
        <v>388592.71215935628</v>
      </c>
    </row>
    <row r="337" spans="1:12" ht="30" customHeight="1" x14ac:dyDescent="0.2">
      <c r="A337" s="27" t="s">
        <v>2734</v>
      </c>
      <c r="B337" s="27" t="s">
        <v>2542</v>
      </c>
      <c r="C337" s="27"/>
      <c r="D337" s="31">
        <f t="shared" ref="D337:D341" si="101">D336+4.116</f>
        <v>8.2319999999999993</v>
      </c>
      <c r="E337" s="52">
        <v>128310</v>
      </c>
      <c r="F337" s="31">
        <v>1.4175</v>
      </c>
      <c r="G337" s="31">
        <v>1.22</v>
      </c>
      <c r="H337" s="31">
        <v>1.25</v>
      </c>
      <c r="I337" s="31">
        <v>1.3</v>
      </c>
      <c r="J337" s="31">
        <v>1.0777000000000001</v>
      </c>
      <c r="K337" s="52">
        <f t="shared" si="70"/>
        <v>388592.71215935628</v>
      </c>
      <c r="L337" s="52">
        <f t="shared" ref="L337:L342" si="102">K337+L336</f>
        <v>777185.42431871255</v>
      </c>
    </row>
    <row r="338" spans="1:12" ht="30" customHeight="1" x14ac:dyDescent="0.2">
      <c r="A338" s="27" t="s">
        <v>2735</v>
      </c>
      <c r="B338" s="27" t="s">
        <v>2544</v>
      </c>
      <c r="C338" s="27"/>
      <c r="D338" s="31">
        <f t="shared" si="101"/>
        <v>12.347999999999999</v>
      </c>
      <c r="E338" s="52">
        <v>128310</v>
      </c>
      <c r="F338" s="31">
        <v>1.4175</v>
      </c>
      <c r="G338" s="31">
        <v>1.22</v>
      </c>
      <c r="H338" s="31">
        <v>1.25</v>
      </c>
      <c r="I338" s="31">
        <v>1.3</v>
      </c>
      <c r="J338" s="31">
        <v>1.0777000000000001</v>
      </c>
      <c r="K338" s="52">
        <f t="shared" si="70"/>
        <v>388592.71215935628</v>
      </c>
      <c r="L338" s="52">
        <f t="shared" si="102"/>
        <v>1165778.1364780688</v>
      </c>
    </row>
    <row r="339" spans="1:12" ht="30" customHeight="1" x14ac:dyDescent="0.2">
      <c r="A339" s="27" t="s">
        <v>2736</v>
      </c>
      <c r="B339" s="27" t="s">
        <v>2546</v>
      </c>
      <c r="C339" s="27"/>
      <c r="D339" s="31">
        <f t="shared" si="101"/>
        <v>16.463999999999999</v>
      </c>
      <c r="E339" s="52">
        <v>128310</v>
      </c>
      <c r="F339" s="31">
        <v>1.4175</v>
      </c>
      <c r="G339" s="31">
        <v>1.22</v>
      </c>
      <c r="H339" s="31">
        <v>1.25</v>
      </c>
      <c r="I339" s="31">
        <v>1.3</v>
      </c>
      <c r="J339" s="31">
        <v>1.0777000000000001</v>
      </c>
      <c r="K339" s="52">
        <f t="shared" si="70"/>
        <v>388592.71215935628</v>
      </c>
      <c r="L339" s="52">
        <f t="shared" si="102"/>
        <v>1554370.8486374251</v>
      </c>
    </row>
    <row r="340" spans="1:12" ht="30" customHeight="1" x14ac:dyDescent="0.2">
      <c r="A340" s="27" t="s">
        <v>2737</v>
      </c>
      <c r="B340" s="27" t="s">
        <v>2548</v>
      </c>
      <c r="C340" s="27"/>
      <c r="D340" s="31">
        <f t="shared" si="101"/>
        <v>20.58</v>
      </c>
      <c r="E340" s="52">
        <v>128310</v>
      </c>
      <c r="F340" s="31">
        <v>1.4175</v>
      </c>
      <c r="G340" s="31">
        <v>1.22</v>
      </c>
      <c r="H340" s="31">
        <v>1.25</v>
      </c>
      <c r="I340" s="31">
        <v>1.3</v>
      </c>
      <c r="J340" s="31">
        <v>1.0777000000000001</v>
      </c>
      <c r="K340" s="52">
        <f t="shared" si="70"/>
        <v>388592.71215935628</v>
      </c>
      <c r="L340" s="52">
        <f t="shared" si="102"/>
        <v>1942963.5607967814</v>
      </c>
    </row>
    <row r="341" spans="1:12" ht="30" customHeight="1" x14ac:dyDescent="0.2">
      <c r="A341" s="27" t="s">
        <v>2738</v>
      </c>
      <c r="B341" s="27" t="s">
        <v>2550</v>
      </c>
      <c r="C341" s="27"/>
      <c r="D341" s="31">
        <f t="shared" si="101"/>
        <v>24.695999999999998</v>
      </c>
      <c r="E341" s="52">
        <v>128310</v>
      </c>
      <c r="F341" s="31">
        <v>1.4175</v>
      </c>
      <c r="G341" s="31">
        <v>1.22</v>
      </c>
      <c r="H341" s="31">
        <v>1.25</v>
      </c>
      <c r="I341" s="31">
        <v>1.3</v>
      </c>
      <c r="J341" s="31">
        <v>1.0777000000000001</v>
      </c>
      <c r="K341" s="52">
        <f t="shared" si="70"/>
        <v>388592.71215935628</v>
      </c>
      <c r="L341" s="52">
        <f t="shared" si="102"/>
        <v>2331556.2729561375</v>
      </c>
    </row>
    <row r="342" spans="1:12" ht="30" customHeight="1" x14ac:dyDescent="0.2">
      <c r="A342" s="27" t="s">
        <v>2739</v>
      </c>
      <c r="B342" s="27" t="s">
        <v>2554</v>
      </c>
      <c r="C342" s="27"/>
      <c r="D342" s="31">
        <f>D341+0.716</f>
        <v>25.411999999999999</v>
      </c>
      <c r="E342" s="52">
        <v>54990</v>
      </c>
      <c r="F342" s="31">
        <v>1.4175</v>
      </c>
      <c r="G342" s="31">
        <v>1.22</v>
      </c>
      <c r="H342" s="31">
        <v>1.25</v>
      </c>
      <c r="I342" s="31">
        <v>1.3</v>
      </c>
      <c r="J342" s="31">
        <v>1.0777000000000001</v>
      </c>
      <c r="K342" s="52">
        <f t="shared" si="70"/>
        <v>166539.73378258126</v>
      </c>
      <c r="L342" s="52">
        <f t="shared" si="102"/>
        <v>2498096.0067387186</v>
      </c>
    </row>
    <row r="343" spans="1:12" ht="30" customHeight="1" x14ac:dyDescent="0.2">
      <c r="A343" s="27" t="s">
        <v>2740</v>
      </c>
      <c r="B343" s="27" t="s">
        <v>2331</v>
      </c>
      <c r="C343" s="27"/>
      <c r="D343" s="31">
        <v>4.7329999999999997</v>
      </c>
      <c r="E343" s="52">
        <v>139370</v>
      </c>
      <c r="F343" s="31"/>
      <c r="G343" s="31">
        <v>1.22</v>
      </c>
      <c r="H343" s="31">
        <v>1.25</v>
      </c>
      <c r="I343" s="31">
        <v>1.3</v>
      </c>
      <c r="J343" s="31"/>
      <c r="K343" s="52">
        <f t="shared" si="70"/>
        <v>276301.02500000002</v>
      </c>
      <c r="L343" s="52">
        <f>K343</f>
        <v>276301.02500000002</v>
      </c>
    </row>
    <row r="344" spans="1:12" ht="30" customHeight="1" x14ac:dyDescent="0.2">
      <c r="A344" s="27" t="s">
        <v>2741</v>
      </c>
      <c r="B344" s="27" t="s">
        <v>2333</v>
      </c>
      <c r="C344" s="27"/>
      <c r="D344" s="31">
        <f t="shared" ref="D344:D351" si="103">D343+1.5</f>
        <v>6.2329999999999997</v>
      </c>
      <c r="E344" s="52">
        <v>139370</v>
      </c>
      <c r="F344" s="31"/>
      <c r="G344" s="31">
        <v>1.22</v>
      </c>
      <c r="H344" s="31">
        <v>1.25</v>
      </c>
      <c r="I344" s="31">
        <v>1.3</v>
      </c>
      <c r="J344" s="31"/>
      <c r="K344" s="52">
        <f t="shared" si="70"/>
        <v>276301.02500000002</v>
      </c>
      <c r="L344" s="52">
        <f t="shared" ref="L344:L351" si="104">K344+L343</f>
        <v>552602.05000000005</v>
      </c>
    </row>
    <row r="345" spans="1:12" ht="30" customHeight="1" x14ac:dyDescent="0.2">
      <c r="A345" s="27" t="s">
        <v>2742</v>
      </c>
      <c r="B345" s="27" t="s">
        <v>2335</v>
      </c>
      <c r="C345" s="27"/>
      <c r="D345" s="31">
        <f t="shared" si="103"/>
        <v>7.7329999999999997</v>
      </c>
      <c r="E345" s="52">
        <v>139370</v>
      </c>
      <c r="F345" s="31"/>
      <c r="G345" s="31">
        <v>1.22</v>
      </c>
      <c r="H345" s="31">
        <v>1.25</v>
      </c>
      <c r="I345" s="31">
        <v>1.3</v>
      </c>
      <c r="J345" s="31"/>
      <c r="K345" s="52">
        <f t="shared" si="70"/>
        <v>276301.02500000002</v>
      </c>
      <c r="L345" s="52">
        <f t="shared" si="104"/>
        <v>828903.07500000007</v>
      </c>
    </row>
    <row r="346" spans="1:12" ht="30" customHeight="1" x14ac:dyDescent="0.2">
      <c r="A346" s="27" t="s">
        <v>2743</v>
      </c>
      <c r="B346" s="27" t="s">
        <v>2337</v>
      </c>
      <c r="C346" s="27"/>
      <c r="D346" s="31">
        <f t="shared" si="103"/>
        <v>9.2330000000000005</v>
      </c>
      <c r="E346" s="52">
        <v>139370</v>
      </c>
      <c r="F346" s="31"/>
      <c r="G346" s="31">
        <v>1.22</v>
      </c>
      <c r="H346" s="31">
        <v>1.25</v>
      </c>
      <c r="I346" s="31">
        <v>1.3</v>
      </c>
      <c r="J346" s="31"/>
      <c r="K346" s="52">
        <f t="shared" si="70"/>
        <v>276301.02500000002</v>
      </c>
      <c r="L346" s="52">
        <f t="shared" si="104"/>
        <v>1105204.1000000001</v>
      </c>
    </row>
    <row r="347" spans="1:12" ht="30" customHeight="1" x14ac:dyDescent="0.2">
      <c r="A347" s="27" t="s">
        <v>2744</v>
      </c>
      <c r="B347" s="27" t="s">
        <v>2339</v>
      </c>
      <c r="C347" s="27"/>
      <c r="D347" s="31">
        <f t="shared" si="103"/>
        <v>10.733000000000001</v>
      </c>
      <c r="E347" s="52">
        <v>139370</v>
      </c>
      <c r="F347" s="31"/>
      <c r="G347" s="31">
        <v>1.22</v>
      </c>
      <c r="H347" s="31">
        <v>1.25</v>
      </c>
      <c r="I347" s="31">
        <v>1.3</v>
      </c>
      <c r="J347" s="31"/>
      <c r="K347" s="52">
        <f t="shared" si="70"/>
        <v>276301.02500000002</v>
      </c>
      <c r="L347" s="52">
        <f t="shared" si="104"/>
        <v>1381505.125</v>
      </c>
    </row>
    <row r="348" spans="1:12" ht="30" customHeight="1" x14ac:dyDescent="0.2">
      <c r="A348" s="27" t="s">
        <v>2745</v>
      </c>
      <c r="B348" s="27" t="s">
        <v>2341</v>
      </c>
      <c r="C348" s="27"/>
      <c r="D348" s="31">
        <f t="shared" si="103"/>
        <v>12.233000000000001</v>
      </c>
      <c r="E348" s="52">
        <v>139370</v>
      </c>
      <c r="F348" s="31"/>
      <c r="G348" s="31">
        <v>1.22</v>
      </c>
      <c r="H348" s="31">
        <v>1.25</v>
      </c>
      <c r="I348" s="31">
        <v>1.3</v>
      </c>
      <c r="J348" s="31"/>
      <c r="K348" s="52">
        <f t="shared" si="70"/>
        <v>276301.02500000002</v>
      </c>
      <c r="L348" s="52">
        <f t="shared" si="104"/>
        <v>1657806.15</v>
      </c>
    </row>
    <row r="349" spans="1:12" ht="30" customHeight="1" x14ac:dyDescent="0.2">
      <c r="A349" s="27" t="s">
        <v>2746</v>
      </c>
      <c r="B349" s="27" t="s">
        <v>2343</v>
      </c>
      <c r="C349" s="27"/>
      <c r="D349" s="31">
        <f t="shared" si="103"/>
        <v>13.733000000000001</v>
      </c>
      <c r="E349" s="52">
        <v>139370</v>
      </c>
      <c r="F349" s="31"/>
      <c r="G349" s="31">
        <v>1.22</v>
      </c>
      <c r="H349" s="31">
        <v>1.25</v>
      </c>
      <c r="I349" s="31">
        <v>1.3</v>
      </c>
      <c r="J349" s="31"/>
      <c r="K349" s="52">
        <f t="shared" si="70"/>
        <v>276301.02500000002</v>
      </c>
      <c r="L349" s="52">
        <f t="shared" si="104"/>
        <v>1934107.1749999998</v>
      </c>
    </row>
    <row r="350" spans="1:12" ht="30" customHeight="1" x14ac:dyDescent="0.2">
      <c r="A350" s="27" t="s">
        <v>2747</v>
      </c>
      <c r="B350" s="27" t="s">
        <v>2345</v>
      </c>
      <c r="C350" s="27"/>
      <c r="D350" s="31">
        <f t="shared" si="103"/>
        <v>15.233000000000001</v>
      </c>
      <c r="E350" s="52">
        <v>139370</v>
      </c>
      <c r="F350" s="31"/>
      <c r="G350" s="31">
        <v>1.22</v>
      </c>
      <c r="H350" s="31">
        <v>1.25</v>
      </c>
      <c r="I350" s="31">
        <v>1.3</v>
      </c>
      <c r="J350" s="31"/>
      <c r="K350" s="52">
        <f t="shared" si="70"/>
        <v>276301.02500000002</v>
      </c>
      <c r="L350" s="52">
        <f t="shared" si="104"/>
        <v>2210408.1999999997</v>
      </c>
    </row>
    <row r="351" spans="1:12" ht="30" customHeight="1" x14ac:dyDescent="0.2">
      <c r="A351" s="27" t="s">
        <v>2748</v>
      </c>
      <c r="B351" s="27" t="s">
        <v>2347</v>
      </c>
      <c r="C351" s="27"/>
      <c r="D351" s="31">
        <f t="shared" si="103"/>
        <v>16.733000000000001</v>
      </c>
      <c r="E351" s="52">
        <v>139370</v>
      </c>
      <c r="F351" s="31"/>
      <c r="G351" s="31">
        <v>1.22</v>
      </c>
      <c r="H351" s="31">
        <v>1.25</v>
      </c>
      <c r="I351" s="31">
        <v>1.3</v>
      </c>
      <c r="J351" s="31"/>
      <c r="K351" s="52">
        <f t="shared" si="70"/>
        <v>276301.02500000002</v>
      </c>
      <c r="L351" s="52">
        <f t="shared" si="104"/>
        <v>2486709.2249999996</v>
      </c>
    </row>
    <row r="352" spans="1:12" ht="30" customHeight="1" x14ac:dyDescent="0.2">
      <c r="A352" s="27" t="s">
        <v>2749</v>
      </c>
      <c r="B352" s="27" t="s">
        <v>2750</v>
      </c>
      <c r="C352" s="27"/>
      <c r="D352" s="31">
        <v>1.8660000000000001</v>
      </c>
      <c r="E352" s="52">
        <v>51180</v>
      </c>
      <c r="F352" s="31"/>
      <c r="G352" s="31">
        <v>1.22</v>
      </c>
      <c r="H352" s="31">
        <v>1.25</v>
      </c>
      <c r="I352" s="31">
        <v>1.3</v>
      </c>
      <c r="J352" s="31"/>
      <c r="K352" s="52">
        <f t="shared" si="70"/>
        <v>101464.35</v>
      </c>
      <c r="L352" s="52">
        <f>K352</f>
        <v>101464.35</v>
      </c>
    </row>
    <row r="353" spans="1:12" ht="30" customHeight="1" x14ac:dyDescent="0.2">
      <c r="A353" s="27" t="s">
        <v>2751</v>
      </c>
      <c r="B353" s="27" t="s">
        <v>2752</v>
      </c>
      <c r="C353" s="27"/>
      <c r="D353" s="31">
        <f>D352+2.85*41</f>
        <v>118.71600000000001</v>
      </c>
      <c r="E353" s="52">
        <f>E352*41</f>
        <v>2098380</v>
      </c>
      <c r="F353" s="31"/>
      <c r="G353" s="31">
        <v>1.22</v>
      </c>
      <c r="H353" s="31">
        <v>1.25</v>
      </c>
      <c r="I353" s="31">
        <v>1.3</v>
      </c>
      <c r="J353" s="31"/>
      <c r="K353" s="52">
        <f t="shared" si="70"/>
        <v>4160038.35</v>
      </c>
      <c r="L353" s="52">
        <f>K353+L352</f>
        <v>4261502.7</v>
      </c>
    </row>
    <row r="354" spans="1:12" ht="30" customHeight="1" x14ac:dyDescent="0.2">
      <c r="A354" s="27" t="s">
        <v>2753</v>
      </c>
      <c r="B354" s="27" t="s">
        <v>2242</v>
      </c>
      <c r="C354" s="27"/>
      <c r="D354" s="31">
        <v>0.4</v>
      </c>
      <c r="E354" s="52">
        <v>28532</v>
      </c>
      <c r="F354" s="31">
        <v>1.1000000000000001</v>
      </c>
      <c r="G354" s="31">
        <v>1.22</v>
      </c>
      <c r="H354" s="31">
        <v>1.25</v>
      </c>
      <c r="I354" s="31">
        <v>1.3</v>
      </c>
      <c r="J354" s="31">
        <v>1.0777000000000001</v>
      </c>
      <c r="K354" s="52">
        <f t="shared" si="70"/>
        <v>67055.743054300023</v>
      </c>
      <c r="L354" s="52">
        <f>K354</f>
        <v>67055.743054300023</v>
      </c>
    </row>
    <row r="355" spans="1:12" ht="30" customHeight="1" x14ac:dyDescent="0.2">
      <c r="A355" s="27" t="s">
        <v>2754</v>
      </c>
      <c r="B355" s="27" t="s">
        <v>2244</v>
      </c>
      <c r="C355" s="27"/>
      <c r="D355" s="31">
        <f t="shared" ref="D355:D366" si="105">D354+0.516</f>
        <v>0.91600000000000004</v>
      </c>
      <c r="E355" s="52">
        <v>28532</v>
      </c>
      <c r="F355" s="31">
        <v>1.1000000000000001</v>
      </c>
      <c r="G355" s="31">
        <v>1.22</v>
      </c>
      <c r="H355" s="31">
        <v>1.25</v>
      </c>
      <c r="I355" s="31">
        <v>1.3</v>
      </c>
      <c r="J355" s="31">
        <v>1.0777000000000001</v>
      </c>
      <c r="K355" s="52">
        <f t="shared" si="70"/>
        <v>67055.743054300023</v>
      </c>
      <c r="L355" s="52">
        <f t="shared" ref="L355:L372" si="106">K355+L354</f>
        <v>134111.48610860005</v>
      </c>
    </row>
    <row r="356" spans="1:12" ht="30" customHeight="1" x14ac:dyDescent="0.2">
      <c r="A356" s="27" t="s">
        <v>2755</v>
      </c>
      <c r="B356" s="27" t="s">
        <v>2246</v>
      </c>
      <c r="C356" s="27"/>
      <c r="D356" s="31">
        <f t="shared" si="105"/>
        <v>1.4319999999999999</v>
      </c>
      <c r="E356" s="52">
        <v>28532</v>
      </c>
      <c r="F356" s="31">
        <v>1.1000000000000001</v>
      </c>
      <c r="G356" s="31">
        <v>1.22</v>
      </c>
      <c r="H356" s="31">
        <v>1.25</v>
      </c>
      <c r="I356" s="31">
        <v>1.3</v>
      </c>
      <c r="J356" s="31">
        <v>1.0777000000000001</v>
      </c>
      <c r="K356" s="52">
        <f t="shared" si="70"/>
        <v>67055.743054300023</v>
      </c>
      <c r="L356" s="52">
        <f t="shared" si="106"/>
        <v>201167.22916290007</v>
      </c>
    </row>
    <row r="357" spans="1:12" ht="30" customHeight="1" x14ac:dyDescent="0.2">
      <c r="A357" s="27" t="s">
        <v>2756</v>
      </c>
      <c r="B357" s="27" t="s">
        <v>2248</v>
      </c>
      <c r="C357" s="27"/>
      <c r="D357" s="31">
        <f t="shared" si="105"/>
        <v>1.948</v>
      </c>
      <c r="E357" s="52">
        <v>28532</v>
      </c>
      <c r="F357" s="31">
        <v>1.1000000000000001</v>
      </c>
      <c r="G357" s="31">
        <v>1.22</v>
      </c>
      <c r="H357" s="31">
        <v>1.25</v>
      </c>
      <c r="I357" s="31">
        <v>1.3</v>
      </c>
      <c r="J357" s="31">
        <v>1.0777000000000001</v>
      </c>
      <c r="K357" s="52">
        <f t="shared" si="70"/>
        <v>67055.743054300023</v>
      </c>
      <c r="L357" s="52">
        <f t="shared" si="106"/>
        <v>268222.97221720009</v>
      </c>
    </row>
    <row r="358" spans="1:12" ht="30" customHeight="1" x14ac:dyDescent="0.2">
      <c r="A358" s="27" t="s">
        <v>2757</v>
      </c>
      <c r="B358" s="27" t="s">
        <v>2250</v>
      </c>
      <c r="C358" s="27"/>
      <c r="D358" s="31">
        <f t="shared" si="105"/>
        <v>2.464</v>
      </c>
      <c r="E358" s="52">
        <v>28532</v>
      </c>
      <c r="F358" s="31">
        <v>1.1000000000000001</v>
      </c>
      <c r="G358" s="31">
        <v>1.22</v>
      </c>
      <c r="H358" s="31">
        <v>1.25</v>
      </c>
      <c r="I358" s="31">
        <v>1.3</v>
      </c>
      <c r="J358" s="31">
        <v>1.0777000000000001</v>
      </c>
      <c r="K358" s="52">
        <f t="shared" si="70"/>
        <v>67055.743054300023</v>
      </c>
      <c r="L358" s="52">
        <f t="shared" si="106"/>
        <v>335278.71527150011</v>
      </c>
    </row>
    <row r="359" spans="1:12" ht="30" customHeight="1" x14ac:dyDescent="0.2">
      <c r="A359" s="27" t="s">
        <v>2758</v>
      </c>
      <c r="B359" s="27" t="s">
        <v>2291</v>
      </c>
      <c r="C359" s="27"/>
      <c r="D359" s="31">
        <f t="shared" si="105"/>
        <v>2.98</v>
      </c>
      <c r="E359" s="52">
        <v>28532</v>
      </c>
      <c r="F359" s="31">
        <v>1.1000000000000001</v>
      </c>
      <c r="G359" s="31">
        <v>1.22</v>
      </c>
      <c r="H359" s="31">
        <v>1.25</v>
      </c>
      <c r="I359" s="31">
        <v>1.3</v>
      </c>
      <c r="J359" s="31">
        <v>1.0777000000000001</v>
      </c>
      <c r="K359" s="52">
        <f t="shared" si="70"/>
        <v>67055.743054300023</v>
      </c>
      <c r="L359" s="52">
        <f t="shared" si="106"/>
        <v>402334.45832580014</v>
      </c>
    </row>
    <row r="360" spans="1:12" ht="30" customHeight="1" x14ac:dyDescent="0.2">
      <c r="A360" s="27" t="s">
        <v>2759</v>
      </c>
      <c r="B360" s="27" t="s">
        <v>2254</v>
      </c>
      <c r="C360" s="27"/>
      <c r="D360" s="31">
        <f t="shared" si="105"/>
        <v>3.496</v>
      </c>
      <c r="E360" s="52">
        <v>28532</v>
      </c>
      <c r="F360" s="31">
        <v>1.1000000000000001</v>
      </c>
      <c r="G360" s="31">
        <v>1.22</v>
      </c>
      <c r="H360" s="31">
        <v>1.25</v>
      </c>
      <c r="I360" s="31">
        <v>1.3</v>
      </c>
      <c r="J360" s="31">
        <v>1.0777000000000001</v>
      </c>
      <c r="K360" s="52">
        <f t="shared" si="70"/>
        <v>67055.743054300023</v>
      </c>
      <c r="L360" s="52">
        <f t="shared" si="106"/>
        <v>469390.20138010016</v>
      </c>
    </row>
    <row r="361" spans="1:12" ht="30" customHeight="1" x14ac:dyDescent="0.2">
      <c r="A361" s="27" t="s">
        <v>2760</v>
      </c>
      <c r="B361" s="27" t="s">
        <v>2256</v>
      </c>
      <c r="C361" s="27"/>
      <c r="D361" s="31">
        <f t="shared" si="105"/>
        <v>4.0120000000000005</v>
      </c>
      <c r="E361" s="52">
        <v>28532</v>
      </c>
      <c r="F361" s="31">
        <v>1.1000000000000001</v>
      </c>
      <c r="G361" s="31">
        <v>1.22</v>
      </c>
      <c r="H361" s="31">
        <v>1.25</v>
      </c>
      <c r="I361" s="31">
        <v>1.3</v>
      </c>
      <c r="J361" s="31">
        <v>1.0777000000000001</v>
      </c>
      <c r="K361" s="52">
        <f t="shared" si="70"/>
        <v>67055.743054300023</v>
      </c>
      <c r="L361" s="52">
        <f t="shared" si="106"/>
        <v>536445.94443440018</v>
      </c>
    </row>
    <row r="362" spans="1:12" ht="30" customHeight="1" x14ac:dyDescent="0.2">
      <c r="A362" s="27" t="s">
        <v>2761</v>
      </c>
      <c r="B362" s="27" t="s">
        <v>2258</v>
      </c>
      <c r="C362" s="27"/>
      <c r="D362" s="31">
        <f t="shared" si="105"/>
        <v>4.5280000000000005</v>
      </c>
      <c r="E362" s="52">
        <v>28532</v>
      </c>
      <c r="F362" s="31">
        <v>1.1000000000000001</v>
      </c>
      <c r="G362" s="31">
        <v>1.22</v>
      </c>
      <c r="H362" s="31">
        <v>1.25</v>
      </c>
      <c r="I362" s="31">
        <v>1.3</v>
      </c>
      <c r="J362" s="31">
        <v>1.0777000000000001</v>
      </c>
      <c r="K362" s="52">
        <f t="shared" si="70"/>
        <v>67055.743054300023</v>
      </c>
      <c r="L362" s="52">
        <f t="shared" si="106"/>
        <v>603501.68748870026</v>
      </c>
    </row>
    <row r="363" spans="1:12" ht="30" customHeight="1" x14ac:dyDescent="0.2">
      <c r="A363" s="27" t="s">
        <v>2762</v>
      </c>
      <c r="B363" s="27" t="s">
        <v>2260</v>
      </c>
      <c r="C363" s="27"/>
      <c r="D363" s="31">
        <f t="shared" si="105"/>
        <v>5.0440000000000005</v>
      </c>
      <c r="E363" s="52">
        <v>28532</v>
      </c>
      <c r="F363" s="31">
        <v>1.1000000000000001</v>
      </c>
      <c r="G363" s="31">
        <v>1.22</v>
      </c>
      <c r="H363" s="31">
        <v>1.25</v>
      </c>
      <c r="I363" s="31">
        <v>1.3</v>
      </c>
      <c r="J363" s="31">
        <v>1.0777000000000001</v>
      </c>
      <c r="K363" s="52">
        <f t="shared" si="70"/>
        <v>67055.743054300023</v>
      </c>
      <c r="L363" s="52">
        <f t="shared" si="106"/>
        <v>670557.43054300034</v>
      </c>
    </row>
    <row r="364" spans="1:12" ht="30" customHeight="1" x14ac:dyDescent="0.2">
      <c r="A364" s="27" t="s">
        <v>2763</v>
      </c>
      <c r="B364" s="27" t="s">
        <v>2297</v>
      </c>
      <c r="C364" s="27"/>
      <c r="D364" s="31">
        <f t="shared" si="105"/>
        <v>5.5600000000000005</v>
      </c>
      <c r="E364" s="52">
        <v>28532</v>
      </c>
      <c r="F364" s="31">
        <v>1.1000000000000001</v>
      </c>
      <c r="G364" s="31">
        <v>1.22</v>
      </c>
      <c r="H364" s="31">
        <v>1.25</v>
      </c>
      <c r="I364" s="31">
        <v>1.3</v>
      </c>
      <c r="J364" s="31">
        <v>1.0777000000000001</v>
      </c>
      <c r="K364" s="52">
        <f t="shared" si="70"/>
        <v>67055.743054300023</v>
      </c>
      <c r="L364" s="52">
        <f t="shared" si="106"/>
        <v>737613.17359730043</v>
      </c>
    </row>
    <row r="365" spans="1:12" ht="30" customHeight="1" x14ac:dyDescent="0.2">
      <c r="A365" s="27" t="s">
        <v>2764</v>
      </c>
      <c r="B365" s="27" t="s">
        <v>2264</v>
      </c>
      <c r="C365" s="27"/>
      <c r="D365" s="31">
        <f t="shared" si="105"/>
        <v>6.0760000000000005</v>
      </c>
      <c r="E365" s="52">
        <v>28532</v>
      </c>
      <c r="F365" s="31">
        <v>1.1000000000000001</v>
      </c>
      <c r="G365" s="31">
        <v>1.22</v>
      </c>
      <c r="H365" s="31">
        <v>1.25</v>
      </c>
      <c r="I365" s="31">
        <v>1.3</v>
      </c>
      <c r="J365" s="31">
        <v>1.0777000000000001</v>
      </c>
      <c r="K365" s="52">
        <f t="shared" si="70"/>
        <v>67055.743054300023</v>
      </c>
      <c r="L365" s="52">
        <f t="shared" si="106"/>
        <v>804668.91665160051</v>
      </c>
    </row>
    <row r="366" spans="1:12" ht="30" customHeight="1" x14ac:dyDescent="0.2">
      <c r="A366" s="27" t="s">
        <v>2765</v>
      </c>
      <c r="B366" s="27" t="s">
        <v>2266</v>
      </c>
      <c r="C366" s="27"/>
      <c r="D366" s="31">
        <f t="shared" si="105"/>
        <v>6.5920000000000005</v>
      </c>
      <c r="E366" s="52">
        <v>28532</v>
      </c>
      <c r="F366" s="31">
        <v>1.1000000000000001</v>
      </c>
      <c r="G366" s="31">
        <v>1.22</v>
      </c>
      <c r="H366" s="31">
        <v>1.25</v>
      </c>
      <c r="I366" s="31">
        <v>1.3</v>
      </c>
      <c r="J366" s="31">
        <v>1.0777000000000001</v>
      </c>
      <c r="K366" s="52">
        <f t="shared" si="70"/>
        <v>67055.743054300023</v>
      </c>
      <c r="L366" s="52">
        <f t="shared" si="106"/>
        <v>871724.65970590059</v>
      </c>
    </row>
    <row r="367" spans="1:12" ht="30" customHeight="1" x14ac:dyDescent="0.2">
      <c r="A367" s="27" t="s">
        <v>2766</v>
      </c>
      <c r="B367" s="27" t="s">
        <v>2414</v>
      </c>
      <c r="C367" s="27"/>
      <c r="D367" s="31">
        <f>D366+0.85</f>
        <v>7.4420000000000002</v>
      </c>
      <c r="E367" s="52">
        <v>28532</v>
      </c>
      <c r="F367" s="31">
        <v>1.1000000000000001</v>
      </c>
      <c r="G367" s="31">
        <v>1.22</v>
      </c>
      <c r="H367" s="31">
        <v>1.25</v>
      </c>
      <c r="I367" s="31">
        <v>1.3</v>
      </c>
      <c r="J367" s="31">
        <v>1.0777000000000001</v>
      </c>
      <c r="K367" s="52">
        <f t="shared" si="70"/>
        <v>67055.743054300023</v>
      </c>
      <c r="L367" s="52">
        <f t="shared" si="106"/>
        <v>938780.40276020067</v>
      </c>
    </row>
    <row r="368" spans="1:12" ht="30" customHeight="1" x14ac:dyDescent="0.2">
      <c r="A368" s="27" t="s">
        <v>2767</v>
      </c>
      <c r="B368" s="27" t="s">
        <v>2270</v>
      </c>
      <c r="C368" s="27"/>
      <c r="D368" s="31">
        <f t="shared" ref="D368:D371" si="107">D367+0.516</f>
        <v>7.9580000000000002</v>
      </c>
      <c r="E368" s="52">
        <v>28532</v>
      </c>
      <c r="F368" s="31">
        <v>1.1000000000000001</v>
      </c>
      <c r="G368" s="31">
        <v>1.22</v>
      </c>
      <c r="H368" s="31">
        <v>1.25</v>
      </c>
      <c r="I368" s="31">
        <v>1.3</v>
      </c>
      <c r="J368" s="31">
        <v>1.0777000000000001</v>
      </c>
      <c r="K368" s="52">
        <f t="shared" si="70"/>
        <v>67055.743054300023</v>
      </c>
      <c r="L368" s="52">
        <f t="shared" si="106"/>
        <v>1005836.1458145007</v>
      </c>
    </row>
    <row r="369" spans="1:12" ht="30" customHeight="1" x14ac:dyDescent="0.2">
      <c r="A369" s="27" t="s">
        <v>2768</v>
      </c>
      <c r="B369" s="27" t="s">
        <v>2303</v>
      </c>
      <c r="C369" s="27"/>
      <c r="D369" s="31">
        <f t="shared" si="107"/>
        <v>8.4740000000000002</v>
      </c>
      <c r="E369" s="52">
        <v>28532</v>
      </c>
      <c r="F369" s="31">
        <v>1.1000000000000001</v>
      </c>
      <c r="G369" s="31">
        <v>1.22</v>
      </c>
      <c r="H369" s="31">
        <v>1.25</v>
      </c>
      <c r="I369" s="31">
        <v>1.3</v>
      </c>
      <c r="J369" s="31">
        <v>1.0777000000000001</v>
      </c>
      <c r="K369" s="52">
        <f t="shared" si="70"/>
        <v>67055.743054300023</v>
      </c>
      <c r="L369" s="52">
        <f t="shared" si="106"/>
        <v>1072891.8888688008</v>
      </c>
    </row>
    <row r="370" spans="1:12" ht="30" customHeight="1" x14ac:dyDescent="0.2">
      <c r="A370" s="27" t="s">
        <v>2769</v>
      </c>
      <c r="B370" s="27" t="s">
        <v>2274</v>
      </c>
      <c r="C370" s="27"/>
      <c r="D370" s="31">
        <f t="shared" si="107"/>
        <v>8.99</v>
      </c>
      <c r="E370" s="52">
        <v>28532</v>
      </c>
      <c r="F370" s="31">
        <v>1.1000000000000001</v>
      </c>
      <c r="G370" s="31">
        <v>1.22</v>
      </c>
      <c r="H370" s="31">
        <v>1.25</v>
      </c>
      <c r="I370" s="31">
        <v>1.3</v>
      </c>
      <c r="J370" s="31">
        <v>1.0777000000000001</v>
      </c>
      <c r="K370" s="52">
        <f t="shared" si="70"/>
        <v>67055.743054300023</v>
      </c>
      <c r="L370" s="52">
        <f t="shared" si="106"/>
        <v>1139947.6319231009</v>
      </c>
    </row>
    <row r="371" spans="1:12" ht="30" customHeight="1" x14ac:dyDescent="0.2">
      <c r="A371" s="27" t="s">
        <v>2770</v>
      </c>
      <c r="B371" s="27" t="s">
        <v>2276</v>
      </c>
      <c r="C371" s="27"/>
      <c r="D371" s="31">
        <f t="shared" si="107"/>
        <v>9.5060000000000002</v>
      </c>
      <c r="E371" s="52">
        <v>28532</v>
      </c>
      <c r="F371" s="31">
        <v>1.1000000000000001</v>
      </c>
      <c r="G371" s="31">
        <v>1.22</v>
      </c>
      <c r="H371" s="31">
        <v>1.25</v>
      </c>
      <c r="I371" s="31">
        <v>1.3</v>
      </c>
      <c r="J371" s="31">
        <v>1.0777000000000001</v>
      </c>
      <c r="K371" s="52">
        <f t="shared" si="70"/>
        <v>67055.743054300023</v>
      </c>
      <c r="L371" s="52">
        <f t="shared" si="106"/>
        <v>1207003.374977401</v>
      </c>
    </row>
    <row r="372" spans="1:12" ht="30" customHeight="1" x14ac:dyDescent="0.2">
      <c r="A372" s="27" t="s">
        <v>2771</v>
      </c>
      <c r="B372" s="27" t="s">
        <v>2772</v>
      </c>
      <c r="C372" s="27"/>
      <c r="D372" s="31">
        <f>D371+0.85</f>
        <v>10.356</v>
      </c>
      <c r="E372" s="52">
        <v>28532</v>
      </c>
      <c r="F372" s="31">
        <v>1.1000000000000001</v>
      </c>
      <c r="G372" s="31">
        <v>1.22</v>
      </c>
      <c r="H372" s="31">
        <v>1.25</v>
      </c>
      <c r="I372" s="31">
        <v>1.3</v>
      </c>
      <c r="J372" s="31">
        <v>1.0777000000000001</v>
      </c>
      <c r="K372" s="52">
        <f t="shared" si="70"/>
        <v>67055.743054300023</v>
      </c>
      <c r="L372" s="52">
        <f t="shared" si="106"/>
        <v>1274059.1180317011</v>
      </c>
    </row>
    <row r="373" spans="1:12" ht="30" customHeight="1" x14ac:dyDescent="0.2">
      <c r="A373" s="27" t="s">
        <v>2773</v>
      </c>
      <c r="B373" s="27" t="s">
        <v>2235</v>
      </c>
      <c r="C373" s="27"/>
      <c r="D373" s="31">
        <v>0</v>
      </c>
      <c r="E373" s="52">
        <v>0</v>
      </c>
      <c r="F373" s="31"/>
      <c r="G373" s="31"/>
      <c r="H373" s="31"/>
      <c r="I373" s="31"/>
      <c r="J373" s="31"/>
      <c r="K373" s="52">
        <f t="shared" si="70"/>
        <v>0</v>
      </c>
      <c r="L373" s="52">
        <f t="shared" ref="L373:L377" si="108">K373</f>
        <v>0</v>
      </c>
    </row>
    <row r="374" spans="1:12" ht="30" customHeight="1" x14ac:dyDescent="0.2">
      <c r="A374" s="27" t="s">
        <v>2774</v>
      </c>
      <c r="B374" s="27" t="s">
        <v>2775</v>
      </c>
      <c r="C374" s="27"/>
      <c r="D374" s="31">
        <f>31.3/((447-258)/447)</f>
        <v>74.026984126984132</v>
      </c>
      <c r="E374" s="52">
        <f>6.272189/100*6333290/((447-258)/447)</f>
        <v>939494.47442852217</v>
      </c>
      <c r="F374" s="31"/>
      <c r="G374" s="31">
        <v>1.22</v>
      </c>
      <c r="H374" s="31">
        <v>1.25</v>
      </c>
      <c r="I374" s="31">
        <f>1.3/1.15</f>
        <v>1.1304347826086958</v>
      </c>
      <c r="J374" s="31"/>
      <c r="K374" s="52">
        <f t="shared" si="70"/>
        <v>1619606.7787430827</v>
      </c>
      <c r="L374" s="52">
        <f t="shared" si="108"/>
        <v>1619606.7787430827</v>
      </c>
    </row>
    <row r="375" spans="1:12" ht="30" customHeight="1" x14ac:dyDescent="0.2">
      <c r="A375" s="27" t="s">
        <v>2776</v>
      </c>
      <c r="B375" s="27" t="s">
        <v>2235</v>
      </c>
      <c r="C375" s="27"/>
      <c r="D375" s="31">
        <v>0</v>
      </c>
      <c r="E375" s="52">
        <v>0</v>
      </c>
      <c r="F375" s="31"/>
      <c r="G375" s="31"/>
      <c r="H375" s="31"/>
      <c r="I375" s="31"/>
      <c r="J375" s="31"/>
      <c r="K375" s="52">
        <f t="shared" si="70"/>
        <v>0</v>
      </c>
      <c r="L375" s="52">
        <f t="shared" si="108"/>
        <v>0</v>
      </c>
    </row>
    <row r="376" spans="1:12" ht="30" customHeight="1" x14ac:dyDescent="0.2">
      <c r="A376" s="27" t="s">
        <v>2777</v>
      </c>
      <c r="B376" s="27" t="s">
        <v>2775</v>
      </c>
      <c r="C376" s="27"/>
      <c r="D376" s="31">
        <f>23.016/((447-101)/447)</f>
        <v>29.734543352601154</v>
      </c>
      <c r="E376" s="52">
        <f>6.390532/100*6333290/((447-101)/447)</f>
        <v>522874.92217905086</v>
      </c>
      <c r="F376" s="31"/>
      <c r="G376" s="31">
        <v>1.22</v>
      </c>
      <c r="H376" s="31">
        <v>1.25</v>
      </c>
      <c r="I376" s="31">
        <f>1.3/1.15</f>
        <v>1.1304347826086958</v>
      </c>
      <c r="J376" s="31"/>
      <c r="K376" s="52">
        <f t="shared" si="70"/>
        <v>901390.89845214644</v>
      </c>
      <c r="L376" s="52">
        <f t="shared" si="108"/>
        <v>901390.89845214644</v>
      </c>
    </row>
    <row r="377" spans="1:12" ht="30" customHeight="1" x14ac:dyDescent="0.2">
      <c r="A377" s="27" t="s">
        <v>2778</v>
      </c>
      <c r="B377" s="27" t="s">
        <v>2779</v>
      </c>
      <c r="C377" s="27"/>
      <c r="D377" s="31">
        <v>3.3</v>
      </c>
      <c r="E377" s="52">
        <f t="shared" ref="E377:E383" si="109">12196*12</f>
        <v>146352</v>
      </c>
      <c r="F377" s="31"/>
      <c r="G377" s="31">
        <v>1.22</v>
      </c>
      <c r="H377" s="31">
        <v>1.25</v>
      </c>
      <c r="I377" s="31">
        <v>1.3</v>
      </c>
      <c r="J377" s="31"/>
      <c r="K377" s="52">
        <f t="shared" si="70"/>
        <v>290142.83999999997</v>
      </c>
      <c r="L377" s="52">
        <f t="shared" si="108"/>
        <v>290142.83999999997</v>
      </c>
    </row>
    <row r="378" spans="1:12" ht="30" customHeight="1" x14ac:dyDescent="0.2">
      <c r="A378" s="27" t="s">
        <v>2780</v>
      </c>
      <c r="B378" s="27" t="s">
        <v>2781</v>
      </c>
      <c r="C378" s="27"/>
      <c r="D378" s="31">
        <f t="shared" ref="D378:D383" si="110">D377+1.016+3.3</f>
        <v>7.6159999999999997</v>
      </c>
      <c r="E378" s="52">
        <f t="shared" si="109"/>
        <v>146352</v>
      </c>
      <c r="F378" s="31"/>
      <c r="G378" s="31">
        <v>1.22</v>
      </c>
      <c r="H378" s="31">
        <v>1.25</v>
      </c>
      <c r="I378" s="31">
        <v>1.3</v>
      </c>
      <c r="J378" s="31"/>
      <c r="K378" s="52">
        <f t="shared" si="70"/>
        <v>290142.83999999997</v>
      </c>
      <c r="L378" s="52">
        <f t="shared" ref="L378:L384" si="111">K378+L377</f>
        <v>580285.67999999993</v>
      </c>
    </row>
    <row r="379" spans="1:12" ht="30" customHeight="1" x14ac:dyDescent="0.2">
      <c r="A379" s="27" t="s">
        <v>2782</v>
      </c>
      <c r="B379" s="27" t="s">
        <v>2783</v>
      </c>
      <c r="C379" s="27"/>
      <c r="D379" s="31">
        <f t="shared" si="110"/>
        <v>11.931999999999999</v>
      </c>
      <c r="E379" s="52">
        <f t="shared" si="109"/>
        <v>146352</v>
      </c>
      <c r="F379" s="31"/>
      <c r="G379" s="31">
        <v>1.22</v>
      </c>
      <c r="H379" s="31">
        <v>1.25</v>
      </c>
      <c r="I379" s="31">
        <v>1.3</v>
      </c>
      <c r="J379" s="31"/>
      <c r="K379" s="52">
        <f t="shared" si="70"/>
        <v>290142.83999999997</v>
      </c>
      <c r="L379" s="52">
        <f t="shared" si="111"/>
        <v>870428.5199999999</v>
      </c>
    </row>
    <row r="380" spans="1:12" ht="30" customHeight="1" x14ac:dyDescent="0.2">
      <c r="A380" s="27" t="s">
        <v>2784</v>
      </c>
      <c r="B380" s="27" t="s">
        <v>2785</v>
      </c>
      <c r="C380" s="27"/>
      <c r="D380" s="31">
        <f t="shared" si="110"/>
        <v>16.247999999999998</v>
      </c>
      <c r="E380" s="52">
        <f t="shared" si="109"/>
        <v>146352</v>
      </c>
      <c r="F380" s="31"/>
      <c r="G380" s="31">
        <v>1.22</v>
      </c>
      <c r="H380" s="31">
        <v>1.25</v>
      </c>
      <c r="I380" s="31">
        <v>1.3</v>
      </c>
      <c r="J380" s="31"/>
      <c r="K380" s="52">
        <f t="shared" si="70"/>
        <v>290142.83999999997</v>
      </c>
      <c r="L380" s="52">
        <f t="shared" si="111"/>
        <v>1160571.3599999999</v>
      </c>
    </row>
    <row r="381" spans="1:12" ht="30" customHeight="1" x14ac:dyDescent="0.2">
      <c r="A381" s="27" t="s">
        <v>2786</v>
      </c>
      <c r="B381" s="27" t="s">
        <v>2787</v>
      </c>
      <c r="C381" s="27"/>
      <c r="D381" s="31">
        <f t="shared" si="110"/>
        <v>20.563999999999997</v>
      </c>
      <c r="E381" s="52">
        <f t="shared" si="109"/>
        <v>146352</v>
      </c>
      <c r="F381" s="31"/>
      <c r="G381" s="31">
        <v>1.22</v>
      </c>
      <c r="H381" s="31">
        <v>1.25</v>
      </c>
      <c r="I381" s="31">
        <v>1.3</v>
      </c>
      <c r="J381" s="31"/>
      <c r="K381" s="52">
        <f t="shared" si="70"/>
        <v>290142.83999999997</v>
      </c>
      <c r="L381" s="52">
        <f t="shared" si="111"/>
        <v>1450714.1999999997</v>
      </c>
    </row>
    <row r="382" spans="1:12" ht="30" customHeight="1" x14ac:dyDescent="0.2">
      <c r="A382" s="27" t="s">
        <v>2788</v>
      </c>
      <c r="B382" s="27" t="s">
        <v>2789</v>
      </c>
      <c r="C382" s="27"/>
      <c r="D382" s="31">
        <f t="shared" si="110"/>
        <v>24.88</v>
      </c>
      <c r="E382" s="52">
        <f t="shared" si="109"/>
        <v>146352</v>
      </c>
      <c r="F382" s="31"/>
      <c r="G382" s="31">
        <v>1.22</v>
      </c>
      <c r="H382" s="31">
        <v>1.25</v>
      </c>
      <c r="I382" s="31">
        <v>1.3</v>
      </c>
      <c r="J382" s="31"/>
      <c r="K382" s="52">
        <f t="shared" si="70"/>
        <v>290142.83999999997</v>
      </c>
      <c r="L382" s="52">
        <f t="shared" si="111"/>
        <v>1740857.0399999996</v>
      </c>
    </row>
    <row r="383" spans="1:12" ht="30" customHeight="1" x14ac:dyDescent="0.2">
      <c r="A383" s="27" t="s">
        <v>2790</v>
      </c>
      <c r="B383" s="27" t="s">
        <v>2791</v>
      </c>
      <c r="C383" s="27"/>
      <c r="D383" s="31">
        <f t="shared" si="110"/>
        <v>29.196000000000002</v>
      </c>
      <c r="E383" s="52">
        <f t="shared" si="109"/>
        <v>146352</v>
      </c>
      <c r="F383" s="31"/>
      <c r="G383" s="31">
        <v>1.22</v>
      </c>
      <c r="H383" s="31">
        <v>1.25</v>
      </c>
      <c r="I383" s="31">
        <v>1.3</v>
      </c>
      <c r="J383" s="31"/>
      <c r="K383" s="52">
        <f t="shared" si="70"/>
        <v>290142.83999999997</v>
      </c>
      <c r="L383" s="52">
        <f t="shared" si="111"/>
        <v>2030999.8799999994</v>
      </c>
    </row>
    <row r="384" spans="1:12" ht="30" customHeight="1" x14ac:dyDescent="0.2">
      <c r="A384" s="27" t="s">
        <v>2792</v>
      </c>
      <c r="B384" s="27" t="s">
        <v>2793</v>
      </c>
      <c r="C384" s="27"/>
      <c r="D384" s="31">
        <f>D383+1.016+0.3*2</f>
        <v>30.812000000000005</v>
      </c>
      <c r="E384" s="52">
        <f>12196*3</f>
        <v>36588</v>
      </c>
      <c r="F384" s="31"/>
      <c r="G384" s="31">
        <v>1.22</v>
      </c>
      <c r="H384" s="31">
        <v>1.25</v>
      </c>
      <c r="I384" s="31">
        <v>1.3</v>
      </c>
      <c r="J384" s="31"/>
      <c r="K384" s="52">
        <f t="shared" si="70"/>
        <v>72535.709999999992</v>
      </c>
      <c r="L384" s="52">
        <f t="shared" si="111"/>
        <v>2103535.5899999994</v>
      </c>
    </row>
    <row r="385" spans="1:12" ht="30" customHeight="1" x14ac:dyDescent="0.2">
      <c r="A385" s="27" t="s">
        <v>2794</v>
      </c>
      <c r="B385" s="27" t="s">
        <v>2795</v>
      </c>
      <c r="C385" s="27"/>
      <c r="D385" s="31">
        <v>2.2000000000000002</v>
      </c>
      <c r="E385" s="52">
        <f>76784*2</f>
        <v>153568</v>
      </c>
      <c r="F385" s="31"/>
      <c r="G385" s="31"/>
      <c r="H385" s="31"/>
      <c r="I385" s="31">
        <v>1.3</v>
      </c>
      <c r="J385" s="31"/>
      <c r="K385" s="52">
        <f t="shared" si="70"/>
        <v>199638.39999999999</v>
      </c>
      <c r="L385" s="52">
        <f>K385</f>
        <v>199638.39999999999</v>
      </c>
    </row>
    <row r="386" spans="1:12" ht="30" customHeight="1" x14ac:dyDescent="0.2">
      <c r="A386" s="27" t="s">
        <v>2796</v>
      </c>
      <c r="B386" s="27" t="s">
        <v>2797</v>
      </c>
      <c r="C386" s="27"/>
      <c r="D386" s="31">
        <f>D385+1.683*69</f>
        <v>118.32700000000001</v>
      </c>
      <c r="E386" s="52">
        <f>E385*69</f>
        <v>10596192</v>
      </c>
      <c r="F386" s="31"/>
      <c r="G386" s="31"/>
      <c r="H386" s="31"/>
      <c r="I386" s="31">
        <v>1.3</v>
      </c>
      <c r="J386" s="31"/>
      <c r="K386" s="52">
        <f t="shared" si="70"/>
        <v>13775049.6</v>
      </c>
      <c r="L386" s="52">
        <f>K386+L385</f>
        <v>13974688</v>
      </c>
    </row>
    <row r="387" spans="1:12" ht="30" customHeight="1" x14ac:dyDescent="0.2">
      <c r="A387" s="27" t="s">
        <v>2798</v>
      </c>
      <c r="B387" s="27" t="s">
        <v>2799</v>
      </c>
      <c r="C387" s="27"/>
      <c r="D387" s="31">
        <v>1.1160000000000001</v>
      </c>
      <c r="E387" s="52">
        <f>23960+21440</f>
        <v>45400</v>
      </c>
      <c r="F387" s="31"/>
      <c r="G387" s="31"/>
      <c r="H387" s="31"/>
      <c r="I387" s="31">
        <v>1.3</v>
      </c>
      <c r="J387" s="31"/>
      <c r="K387" s="52">
        <f t="shared" si="70"/>
        <v>59020</v>
      </c>
      <c r="L387" s="52">
        <f>K387</f>
        <v>59020</v>
      </c>
    </row>
    <row r="388" spans="1:12" ht="30" customHeight="1" x14ac:dyDescent="0.2">
      <c r="A388" s="27" t="s">
        <v>2800</v>
      </c>
      <c r="B388" s="27" t="s">
        <v>2801</v>
      </c>
      <c r="C388" s="27"/>
      <c r="D388" s="31">
        <v>10.933</v>
      </c>
      <c r="E388" s="52">
        <f>492051-E387</f>
        <v>446651</v>
      </c>
      <c r="F388" s="31"/>
      <c r="G388" s="31"/>
      <c r="H388" s="31"/>
      <c r="I388" s="31">
        <v>1.3</v>
      </c>
      <c r="J388" s="31"/>
      <c r="K388" s="52">
        <f t="shared" si="70"/>
        <v>580646.30000000005</v>
      </c>
      <c r="L388" s="52">
        <f>K388+L387</f>
        <v>639666.30000000005</v>
      </c>
    </row>
    <row r="389" spans="1:12" ht="30" customHeight="1" x14ac:dyDescent="0.2">
      <c r="A389" s="27" t="s">
        <v>2802</v>
      </c>
      <c r="B389" s="27" t="s">
        <v>2331</v>
      </c>
      <c r="C389" s="27"/>
      <c r="D389" s="31">
        <v>0.5</v>
      </c>
      <c r="E389" s="52">
        <v>71544</v>
      </c>
      <c r="F389" s="31"/>
      <c r="G389" s="31">
        <v>1.22</v>
      </c>
      <c r="H389" s="31">
        <v>1.25</v>
      </c>
      <c r="I389" s="31">
        <v>1.3</v>
      </c>
      <c r="J389" s="31"/>
      <c r="K389" s="52">
        <f t="shared" si="70"/>
        <v>141835.97999999998</v>
      </c>
      <c r="L389" s="52">
        <f>K389</f>
        <v>141835.97999999998</v>
      </c>
    </row>
    <row r="390" spans="1:12" ht="30" customHeight="1" x14ac:dyDescent="0.2">
      <c r="A390" s="27" t="s">
        <v>2803</v>
      </c>
      <c r="B390" s="27" t="s">
        <v>2333</v>
      </c>
      <c r="C390" s="27"/>
      <c r="D390" s="31">
        <f t="shared" ref="D390:D398" si="112">D389+1.267</f>
        <v>1.7669999999999999</v>
      </c>
      <c r="E390" s="52">
        <v>71544</v>
      </c>
      <c r="F390" s="31"/>
      <c r="G390" s="31">
        <v>1.22</v>
      </c>
      <c r="H390" s="31">
        <v>1.25</v>
      </c>
      <c r="I390" s="31">
        <v>1.3</v>
      </c>
      <c r="J390" s="31"/>
      <c r="K390" s="52">
        <f t="shared" si="70"/>
        <v>141835.97999999998</v>
      </c>
      <c r="L390" s="52">
        <f t="shared" ref="L390:L398" si="113">K390+L389</f>
        <v>283671.95999999996</v>
      </c>
    </row>
    <row r="391" spans="1:12" ht="30" customHeight="1" x14ac:dyDescent="0.2">
      <c r="A391" s="27" t="s">
        <v>2804</v>
      </c>
      <c r="B391" s="27" t="s">
        <v>2335</v>
      </c>
      <c r="C391" s="27"/>
      <c r="D391" s="31">
        <f t="shared" si="112"/>
        <v>3.0339999999999998</v>
      </c>
      <c r="E391" s="52">
        <v>71544</v>
      </c>
      <c r="F391" s="31"/>
      <c r="G391" s="31">
        <v>1.22</v>
      </c>
      <c r="H391" s="31">
        <v>1.25</v>
      </c>
      <c r="I391" s="31">
        <v>1.3</v>
      </c>
      <c r="J391" s="31"/>
      <c r="K391" s="52">
        <f t="shared" si="70"/>
        <v>141835.97999999998</v>
      </c>
      <c r="L391" s="52">
        <f t="shared" si="113"/>
        <v>425507.93999999994</v>
      </c>
    </row>
    <row r="392" spans="1:12" ht="30" customHeight="1" x14ac:dyDescent="0.2">
      <c r="A392" s="27" t="s">
        <v>2805</v>
      </c>
      <c r="B392" s="27" t="s">
        <v>2337</v>
      </c>
      <c r="C392" s="27"/>
      <c r="D392" s="31">
        <f t="shared" si="112"/>
        <v>4.3010000000000002</v>
      </c>
      <c r="E392" s="52">
        <v>71544</v>
      </c>
      <c r="F392" s="31"/>
      <c r="G392" s="31">
        <v>1.22</v>
      </c>
      <c r="H392" s="31">
        <v>1.25</v>
      </c>
      <c r="I392" s="31">
        <v>1.3</v>
      </c>
      <c r="J392" s="31"/>
      <c r="K392" s="52">
        <f t="shared" si="70"/>
        <v>141835.97999999998</v>
      </c>
      <c r="L392" s="52">
        <f t="shared" si="113"/>
        <v>567343.91999999993</v>
      </c>
    </row>
    <row r="393" spans="1:12" ht="30" customHeight="1" x14ac:dyDescent="0.2">
      <c r="A393" s="27" t="s">
        <v>2806</v>
      </c>
      <c r="B393" s="27" t="s">
        <v>2339</v>
      </c>
      <c r="C393" s="27"/>
      <c r="D393" s="31">
        <f t="shared" si="112"/>
        <v>5.5679999999999996</v>
      </c>
      <c r="E393" s="52">
        <v>71544</v>
      </c>
      <c r="F393" s="31"/>
      <c r="G393" s="31">
        <v>1.22</v>
      </c>
      <c r="H393" s="31">
        <v>1.25</v>
      </c>
      <c r="I393" s="31">
        <v>1.3</v>
      </c>
      <c r="J393" s="31"/>
      <c r="K393" s="52">
        <f t="shared" si="70"/>
        <v>141835.97999999998</v>
      </c>
      <c r="L393" s="52">
        <f t="shared" si="113"/>
        <v>709179.89999999991</v>
      </c>
    </row>
    <row r="394" spans="1:12" ht="30" customHeight="1" x14ac:dyDescent="0.2">
      <c r="A394" s="27" t="s">
        <v>2807</v>
      </c>
      <c r="B394" s="27" t="s">
        <v>2341</v>
      </c>
      <c r="C394" s="27"/>
      <c r="D394" s="31">
        <f t="shared" si="112"/>
        <v>6.8349999999999991</v>
      </c>
      <c r="E394" s="52">
        <v>71544</v>
      </c>
      <c r="F394" s="31"/>
      <c r="G394" s="31">
        <v>1.22</v>
      </c>
      <c r="H394" s="31">
        <v>1.25</v>
      </c>
      <c r="I394" s="31">
        <v>1.3</v>
      </c>
      <c r="J394" s="31"/>
      <c r="K394" s="52">
        <f t="shared" si="70"/>
        <v>141835.97999999998</v>
      </c>
      <c r="L394" s="52">
        <f t="shared" si="113"/>
        <v>851015.87999999989</v>
      </c>
    </row>
    <row r="395" spans="1:12" ht="30" customHeight="1" x14ac:dyDescent="0.2">
      <c r="A395" s="27" t="s">
        <v>2808</v>
      </c>
      <c r="B395" s="27" t="s">
        <v>2343</v>
      </c>
      <c r="C395" s="27"/>
      <c r="D395" s="31">
        <f t="shared" si="112"/>
        <v>8.1019999999999985</v>
      </c>
      <c r="E395" s="52">
        <v>71544</v>
      </c>
      <c r="F395" s="31"/>
      <c r="G395" s="31">
        <v>1.22</v>
      </c>
      <c r="H395" s="31">
        <v>1.25</v>
      </c>
      <c r="I395" s="31">
        <v>1.3</v>
      </c>
      <c r="J395" s="31"/>
      <c r="K395" s="52">
        <f t="shared" si="70"/>
        <v>141835.97999999998</v>
      </c>
      <c r="L395" s="52">
        <f t="shared" si="113"/>
        <v>992851.85999999987</v>
      </c>
    </row>
    <row r="396" spans="1:12" ht="30" customHeight="1" x14ac:dyDescent="0.2">
      <c r="A396" s="27" t="s">
        <v>2809</v>
      </c>
      <c r="B396" s="27" t="s">
        <v>2345</v>
      </c>
      <c r="C396" s="27"/>
      <c r="D396" s="31">
        <f t="shared" si="112"/>
        <v>9.368999999999998</v>
      </c>
      <c r="E396" s="52">
        <v>71544</v>
      </c>
      <c r="F396" s="31"/>
      <c r="G396" s="31">
        <v>1.22</v>
      </c>
      <c r="H396" s="31">
        <v>1.25</v>
      </c>
      <c r="I396" s="31">
        <v>1.3</v>
      </c>
      <c r="J396" s="31"/>
      <c r="K396" s="52">
        <f t="shared" si="70"/>
        <v>141835.97999999998</v>
      </c>
      <c r="L396" s="52">
        <f t="shared" si="113"/>
        <v>1134687.8399999999</v>
      </c>
    </row>
    <row r="397" spans="1:12" ht="30" customHeight="1" x14ac:dyDescent="0.2">
      <c r="A397" s="27" t="s">
        <v>2810</v>
      </c>
      <c r="B397" s="27" t="s">
        <v>2347</v>
      </c>
      <c r="C397" s="27"/>
      <c r="D397" s="31">
        <f t="shared" si="112"/>
        <v>10.635999999999997</v>
      </c>
      <c r="E397" s="52">
        <v>71544</v>
      </c>
      <c r="F397" s="31"/>
      <c r="G397" s="31">
        <v>1.22</v>
      </c>
      <c r="H397" s="31">
        <v>1.25</v>
      </c>
      <c r="I397" s="31">
        <v>1.3</v>
      </c>
      <c r="J397" s="31"/>
      <c r="K397" s="52">
        <f t="shared" si="70"/>
        <v>141835.97999999998</v>
      </c>
      <c r="L397" s="52">
        <f t="shared" si="113"/>
        <v>1276523.8199999998</v>
      </c>
    </row>
    <row r="398" spans="1:12" ht="30" customHeight="1" x14ac:dyDescent="0.2">
      <c r="A398" s="27" t="s">
        <v>2811</v>
      </c>
      <c r="B398" s="27" t="s">
        <v>2385</v>
      </c>
      <c r="C398" s="27"/>
      <c r="D398" s="31">
        <f t="shared" si="112"/>
        <v>11.902999999999997</v>
      </c>
      <c r="E398" s="52">
        <v>71544</v>
      </c>
      <c r="F398" s="31"/>
      <c r="G398" s="31">
        <v>1.22</v>
      </c>
      <c r="H398" s="31">
        <v>1.25</v>
      </c>
      <c r="I398" s="31">
        <v>1.3</v>
      </c>
      <c r="J398" s="31"/>
      <c r="K398" s="52">
        <f t="shared" si="70"/>
        <v>141835.97999999998</v>
      </c>
      <c r="L398" s="52">
        <f t="shared" si="113"/>
        <v>1418359.7999999998</v>
      </c>
    </row>
    <row r="399" spans="1:12" ht="30" customHeight="1" x14ac:dyDescent="0.2">
      <c r="A399" s="27" t="s">
        <v>2812</v>
      </c>
      <c r="B399" s="27" t="s">
        <v>2813</v>
      </c>
      <c r="C399" s="27"/>
      <c r="D399" s="31">
        <v>1.1659999999999999</v>
      </c>
      <c r="E399" s="52">
        <v>373582</v>
      </c>
      <c r="F399" s="31"/>
      <c r="G399" s="31"/>
      <c r="H399" s="31"/>
      <c r="I399" s="31">
        <v>1.3</v>
      </c>
      <c r="J399" s="31"/>
      <c r="K399" s="52">
        <f t="shared" si="70"/>
        <v>485656.60000000003</v>
      </c>
      <c r="L399" s="52">
        <f t="shared" ref="L399:L400" si="114">K399</f>
        <v>485656.60000000003</v>
      </c>
    </row>
    <row r="400" spans="1:12" ht="30" customHeight="1" x14ac:dyDescent="0.2">
      <c r="A400" s="27" t="s">
        <v>2814</v>
      </c>
      <c r="B400" s="27" t="s">
        <v>2242</v>
      </c>
      <c r="C400" s="27"/>
      <c r="D400" s="31">
        <v>1.1659999999999999</v>
      </c>
      <c r="E400" s="52">
        <v>105849</v>
      </c>
      <c r="F400" s="31"/>
      <c r="G400" s="31"/>
      <c r="H400" s="31"/>
      <c r="I400" s="31">
        <v>1.3</v>
      </c>
      <c r="J400" s="31"/>
      <c r="K400" s="52">
        <f t="shared" si="70"/>
        <v>137603.70000000001</v>
      </c>
      <c r="L400" s="52">
        <f t="shared" si="114"/>
        <v>137603.70000000001</v>
      </c>
    </row>
    <row r="401" spans="1:12" ht="30" customHeight="1" x14ac:dyDescent="0.2">
      <c r="A401" s="27" t="s">
        <v>2815</v>
      </c>
      <c r="B401" s="27" t="s">
        <v>2244</v>
      </c>
      <c r="C401" s="27"/>
      <c r="D401" s="31">
        <v>1.7829999999999999</v>
      </c>
      <c r="E401" s="52">
        <v>154328</v>
      </c>
      <c r="F401" s="31"/>
      <c r="G401" s="31"/>
      <c r="H401" s="31"/>
      <c r="I401" s="31">
        <v>1.3</v>
      </c>
      <c r="J401" s="31"/>
      <c r="K401" s="52">
        <f t="shared" si="70"/>
        <v>200626.4</v>
      </c>
      <c r="L401" s="52">
        <f t="shared" ref="L401:L402" si="115">K401+L400</f>
        <v>338230.1</v>
      </c>
    </row>
    <row r="402" spans="1:12" ht="30" customHeight="1" x14ac:dyDescent="0.2">
      <c r="A402" s="27" t="s">
        <v>2816</v>
      </c>
      <c r="B402" s="27" t="s">
        <v>2246</v>
      </c>
      <c r="C402" s="27"/>
      <c r="D402" s="31">
        <v>2.3660000000000001</v>
      </c>
      <c r="E402" s="52">
        <v>201193</v>
      </c>
      <c r="F402" s="31"/>
      <c r="G402" s="31"/>
      <c r="H402" s="31"/>
      <c r="I402" s="31">
        <v>1.3</v>
      </c>
      <c r="J402" s="31"/>
      <c r="K402" s="52">
        <f t="shared" si="70"/>
        <v>261550.90000000002</v>
      </c>
      <c r="L402" s="52">
        <f t="shared" si="115"/>
        <v>599781</v>
      </c>
    </row>
    <row r="403" spans="1:12" ht="30" customHeight="1" x14ac:dyDescent="0.2">
      <c r="A403" s="27" t="s">
        <v>2817</v>
      </c>
      <c r="B403" s="27" t="s">
        <v>2818</v>
      </c>
      <c r="C403" s="27"/>
      <c r="D403" s="31">
        <v>0.3</v>
      </c>
      <c r="E403" s="52">
        <v>0</v>
      </c>
      <c r="F403" s="31"/>
      <c r="G403" s="31">
        <v>1.22</v>
      </c>
      <c r="H403" s="31">
        <v>1.25</v>
      </c>
      <c r="I403" s="31">
        <v>1.3</v>
      </c>
      <c r="J403" s="31"/>
      <c r="K403" s="52">
        <f t="shared" si="70"/>
        <v>0</v>
      </c>
      <c r="L403" s="52">
        <f>K403</f>
        <v>0</v>
      </c>
    </row>
    <row r="404" spans="1:12" ht="30" customHeight="1" x14ac:dyDescent="0.2">
      <c r="A404" s="27" t="s">
        <v>2819</v>
      </c>
      <c r="B404" s="27" t="s">
        <v>2820</v>
      </c>
      <c r="C404" s="27"/>
      <c r="D404" s="31">
        <f>D403+1.366</f>
        <v>1.6660000000000001</v>
      </c>
      <c r="E404" s="52">
        <v>299801</v>
      </c>
      <c r="F404" s="31"/>
      <c r="G404" s="31">
        <v>1.22</v>
      </c>
      <c r="H404" s="31">
        <v>1.25</v>
      </c>
      <c r="I404" s="31">
        <v>1.3</v>
      </c>
      <c r="J404" s="31"/>
      <c r="K404" s="52">
        <f t="shared" si="70"/>
        <v>594355.48249999993</v>
      </c>
      <c r="L404" s="52">
        <f>K404+L403</f>
        <v>594355.48249999993</v>
      </c>
    </row>
    <row r="405" spans="1:12" ht="30" customHeight="1" x14ac:dyDescent="0.2">
      <c r="A405" s="27" t="s">
        <v>2821</v>
      </c>
      <c r="B405" s="27" t="s">
        <v>2235</v>
      </c>
      <c r="C405" s="27"/>
      <c r="D405" s="31">
        <v>0</v>
      </c>
      <c r="E405" s="52">
        <v>0</v>
      </c>
      <c r="F405" s="31"/>
      <c r="G405" s="31"/>
      <c r="H405" s="31"/>
      <c r="I405" s="31"/>
      <c r="J405" s="31"/>
      <c r="K405" s="52">
        <f t="shared" si="70"/>
        <v>0</v>
      </c>
      <c r="L405" s="52">
        <f t="shared" ref="L405:L407" si="116">K405</f>
        <v>0</v>
      </c>
    </row>
    <row r="406" spans="1:12" ht="30" customHeight="1" x14ac:dyDescent="0.2">
      <c r="A406" s="27" t="s">
        <v>2822</v>
      </c>
      <c r="B406" s="27" t="s">
        <v>2823</v>
      </c>
      <c r="C406" s="27"/>
      <c r="D406" s="31">
        <v>40.015999999999998</v>
      </c>
      <c r="E406" s="52">
        <f>499400*3</f>
        <v>1498200</v>
      </c>
      <c r="F406" s="31"/>
      <c r="G406" s="31">
        <v>1.22</v>
      </c>
      <c r="H406" s="31">
        <v>1.25</v>
      </c>
      <c r="I406" s="31">
        <v>1.3</v>
      </c>
      <c r="J406" s="31"/>
      <c r="K406" s="52">
        <f t="shared" si="70"/>
        <v>2970181.5</v>
      </c>
      <c r="L406" s="52">
        <f t="shared" si="116"/>
        <v>2970181.5</v>
      </c>
    </row>
    <row r="407" spans="1:12" ht="30" customHeight="1" x14ac:dyDescent="0.2">
      <c r="A407" s="27" t="s">
        <v>2824</v>
      </c>
      <c r="B407" s="27" t="s">
        <v>2242</v>
      </c>
      <c r="C407" s="27"/>
      <c r="D407" s="31">
        <v>0.91600000000000004</v>
      </c>
      <c r="E407" s="52">
        <f t="shared" ref="E407:E444" si="117">7089*5</f>
        <v>35445</v>
      </c>
      <c r="F407" s="31">
        <v>1.47</v>
      </c>
      <c r="G407" s="31">
        <v>1.22</v>
      </c>
      <c r="H407" s="31">
        <v>1.25</v>
      </c>
      <c r="I407" s="31">
        <v>1.3</v>
      </c>
      <c r="J407" s="31">
        <v>1.0780000000000001</v>
      </c>
      <c r="K407" s="52">
        <f t="shared" si="70"/>
        <v>111353.60261025</v>
      </c>
      <c r="L407" s="52">
        <f t="shared" si="116"/>
        <v>111353.60261025</v>
      </c>
    </row>
    <row r="408" spans="1:12" ht="30" customHeight="1" x14ac:dyDescent="0.2">
      <c r="A408" s="27" t="s">
        <v>2825</v>
      </c>
      <c r="B408" s="27" t="s">
        <v>2244</v>
      </c>
      <c r="C408" s="27"/>
      <c r="D408" s="31">
        <f t="shared" ref="D408:D411" si="118">D407+1.333</f>
        <v>2.2490000000000001</v>
      </c>
      <c r="E408" s="52">
        <f t="shared" si="117"/>
        <v>35445</v>
      </c>
      <c r="F408" s="31">
        <v>1.47</v>
      </c>
      <c r="G408" s="31">
        <v>1.22</v>
      </c>
      <c r="H408" s="31">
        <v>1.25</v>
      </c>
      <c r="I408" s="31">
        <v>1.3</v>
      </c>
      <c r="J408" s="31">
        <v>1.0780000000000001</v>
      </c>
      <c r="K408" s="52">
        <f t="shared" si="70"/>
        <v>111353.60261025</v>
      </c>
      <c r="L408" s="52">
        <f t="shared" ref="L408:L425" si="119">K408+L407</f>
        <v>222707.20522050001</v>
      </c>
    </row>
    <row r="409" spans="1:12" ht="30" customHeight="1" x14ac:dyDescent="0.2">
      <c r="A409" s="27" t="s">
        <v>2826</v>
      </c>
      <c r="B409" s="27" t="s">
        <v>2246</v>
      </c>
      <c r="C409" s="27"/>
      <c r="D409" s="31">
        <f t="shared" si="118"/>
        <v>3.5819999999999999</v>
      </c>
      <c r="E409" s="52">
        <f t="shared" si="117"/>
        <v>35445</v>
      </c>
      <c r="F409" s="31">
        <v>1.47</v>
      </c>
      <c r="G409" s="31">
        <v>1.22</v>
      </c>
      <c r="H409" s="31">
        <v>1.25</v>
      </c>
      <c r="I409" s="31">
        <v>1.3</v>
      </c>
      <c r="J409" s="31">
        <v>1.0780000000000001</v>
      </c>
      <c r="K409" s="52">
        <f t="shared" si="70"/>
        <v>111353.60261025</v>
      </c>
      <c r="L409" s="52">
        <f t="shared" si="119"/>
        <v>334060.80783075001</v>
      </c>
    </row>
    <row r="410" spans="1:12" ht="30" customHeight="1" x14ac:dyDescent="0.2">
      <c r="A410" s="27" t="s">
        <v>2827</v>
      </c>
      <c r="B410" s="27" t="s">
        <v>2248</v>
      </c>
      <c r="C410" s="27"/>
      <c r="D410" s="31">
        <f t="shared" si="118"/>
        <v>4.915</v>
      </c>
      <c r="E410" s="52">
        <f t="shared" si="117"/>
        <v>35445</v>
      </c>
      <c r="F410" s="31">
        <v>1.47</v>
      </c>
      <c r="G410" s="31">
        <v>1.22</v>
      </c>
      <c r="H410" s="31">
        <v>1.25</v>
      </c>
      <c r="I410" s="31">
        <v>1.3</v>
      </c>
      <c r="J410" s="31">
        <v>1.0780000000000001</v>
      </c>
      <c r="K410" s="52">
        <f t="shared" si="70"/>
        <v>111353.60261025</v>
      </c>
      <c r="L410" s="52">
        <f t="shared" si="119"/>
        <v>445414.41044100001</v>
      </c>
    </row>
    <row r="411" spans="1:12" ht="30" customHeight="1" x14ac:dyDescent="0.2">
      <c r="A411" s="27" t="s">
        <v>2828</v>
      </c>
      <c r="B411" s="27" t="s">
        <v>2250</v>
      </c>
      <c r="C411" s="27"/>
      <c r="D411" s="31">
        <f t="shared" si="118"/>
        <v>6.2480000000000002</v>
      </c>
      <c r="E411" s="52">
        <f t="shared" si="117"/>
        <v>35445</v>
      </c>
      <c r="F411" s="31">
        <v>1.47</v>
      </c>
      <c r="G411" s="31">
        <v>1.22</v>
      </c>
      <c r="H411" s="31">
        <v>1.25</v>
      </c>
      <c r="I411" s="31">
        <v>1.3</v>
      </c>
      <c r="J411" s="31">
        <v>1.0780000000000001</v>
      </c>
      <c r="K411" s="52">
        <f t="shared" si="70"/>
        <v>111353.60261025</v>
      </c>
      <c r="L411" s="52">
        <f t="shared" si="119"/>
        <v>556768.01305125002</v>
      </c>
    </row>
    <row r="412" spans="1:12" ht="30" customHeight="1" x14ac:dyDescent="0.2">
      <c r="A412" s="27" t="s">
        <v>2829</v>
      </c>
      <c r="B412" s="27" t="s">
        <v>2252</v>
      </c>
      <c r="C412" s="27"/>
      <c r="D412" s="31">
        <f>D411+2.216</f>
        <v>8.4640000000000004</v>
      </c>
      <c r="E412" s="52">
        <f t="shared" si="117"/>
        <v>35445</v>
      </c>
      <c r="F412" s="31">
        <v>1.47</v>
      </c>
      <c r="G412" s="31">
        <v>1.22</v>
      </c>
      <c r="H412" s="31">
        <v>1.25</v>
      </c>
      <c r="I412" s="31">
        <v>1.3</v>
      </c>
      <c r="J412" s="31">
        <v>1.0780000000000001</v>
      </c>
      <c r="K412" s="52">
        <f t="shared" si="70"/>
        <v>111353.60261025</v>
      </c>
      <c r="L412" s="52">
        <f t="shared" si="119"/>
        <v>668121.61566150002</v>
      </c>
    </row>
    <row r="413" spans="1:12" ht="30" customHeight="1" x14ac:dyDescent="0.2">
      <c r="A413" s="27" t="s">
        <v>2830</v>
      </c>
      <c r="B413" s="27" t="s">
        <v>2254</v>
      </c>
      <c r="C413" s="27"/>
      <c r="D413" s="31">
        <f t="shared" ref="D413:D416" si="120">D412+1.333</f>
        <v>9.7970000000000006</v>
      </c>
      <c r="E413" s="52">
        <f t="shared" si="117"/>
        <v>35445</v>
      </c>
      <c r="F413" s="31">
        <v>1.47</v>
      </c>
      <c r="G413" s="31">
        <v>1.22</v>
      </c>
      <c r="H413" s="31">
        <v>1.25</v>
      </c>
      <c r="I413" s="31">
        <v>1.3</v>
      </c>
      <c r="J413" s="31">
        <v>1.0780000000000001</v>
      </c>
      <c r="K413" s="52">
        <f t="shared" si="70"/>
        <v>111353.60261025</v>
      </c>
      <c r="L413" s="52">
        <f t="shared" si="119"/>
        <v>779475.21827175003</v>
      </c>
    </row>
    <row r="414" spans="1:12" ht="30" customHeight="1" x14ac:dyDescent="0.2">
      <c r="A414" s="27" t="s">
        <v>2831</v>
      </c>
      <c r="B414" s="27" t="s">
        <v>2256</v>
      </c>
      <c r="C414" s="27"/>
      <c r="D414" s="31">
        <f t="shared" si="120"/>
        <v>11.13</v>
      </c>
      <c r="E414" s="52">
        <f t="shared" si="117"/>
        <v>35445</v>
      </c>
      <c r="F414" s="31">
        <v>1.47</v>
      </c>
      <c r="G414" s="31">
        <v>1.22</v>
      </c>
      <c r="H414" s="31">
        <v>1.25</v>
      </c>
      <c r="I414" s="31">
        <v>1.3</v>
      </c>
      <c r="J414" s="31">
        <v>1.0780000000000001</v>
      </c>
      <c r="K414" s="52">
        <f t="shared" si="70"/>
        <v>111353.60261025</v>
      </c>
      <c r="L414" s="52">
        <f t="shared" si="119"/>
        <v>890828.82088200003</v>
      </c>
    </row>
    <row r="415" spans="1:12" ht="30" customHeight="1" x14ac:dyDescent="0.2">
      <c r="A415" s="27" t="s">
        <v>2832</v>
      </c>
      <c r="B415" s="27" t="s">
        <v>2258</v>
      </c>
      <c r="C415" s="27"/>
      <c r="D415" s="31">
        <f t="shared" si="120"/>
        <v>12.463000000000001</v>
      </c>
      <c r="E415" s="52">
        <f t="shared" si="117"/>
        <v>35445</v>
      </c>
      <c r="F415" s="31">
        <v>1.47</v>
      </c>
      <c r="G415" s="31">
        <v>1.22</v>
      </c>
      <c r="H415" s="31">
        <v>1.25</v>
      </c>
      <c r="I415" s="31">
        <v>1.3</v>
      </c>
      <c r="J415" s="31">
        <v>1.0780000000000001</v>
      </c>
      <c r="K415" s="52">
        <f t="shared" si="70"/>
        <v>111353.60261025</v>
      </c>
      <c r="L415" s="52">
        <f t="shared" si="119"/>
        <v>1002182.42349225</v>
      </c>
    </row>
    <row r="416" spans="1:12" ht="30" customHeight="1" x14ac:dyDescent="0.2">
      <c r="A416" s="27" t="s">
        <v>2833</v>
      </c>
      <c r="B416" s="27" t="s">
        <v>2260</v>
      </c>
      <c r="C416" s="27"/>
      <c r="D416" s="31">
        <f t="shared" si="120"/>
        <v>13.796000000000001</v>
      </c>
      <c r="E416" s="52">
        <f t="shared" si="117"/>
        <v>35445</v>
      </c>
      <c r="F416" s="31">
        <v>1.47</v>
      </c>
      <c r="G416" s="31">
        <v>1.22</v>
      </c>
      <c r="H416" s="31">
        <v>1.25</v>
      </c>
      <c r="I416" s="31">
        <v>1.3</v>
      </c>
      <c r="J416" s="31">
        <v>1.0780000000000001</v>
      </c>
      <c r="K416" s="52">
        <f t="shared" si="70"/>
        <v>111353.60261025</v>
      </c>
      <c r="L416" s="52">
        <f t="shared" si="119"/>
        <v>1113536.0261025</v>
      </c>
    </row>
    <row r="417" spans="1:12" ht="30" customHeight="1" x14ac:dyDescent="0.2">
      <c r="A417" s="27" t="s">
        <v>2834</v>
      </c>
      <c r="B417" s="27" t="s">
        <v>2262</v>
      </c>
      <c r="C417" s="27"/>
      <c r="D417" s="31">
        <f>D416+2.216</f>
        <v>16.012</v>
      </c>
      <c r="E417" s="52">
        <f t="shared" si="117"/>
        <v>35445</v>
      </c>
      <c r="F417" s="31">
        <v>1.47</v>
      </c>
      <c r="G417" s="31">
        <v>1.22</v>
      </c>
      <c r="H417" s="31">
        <v>1.25</v>
      </c>
      <c r="I417" s="31">
        <v>1.3</v>
      </c>
      <c r="J417" s="31">
        <v>1.0780000000000001</v>
      </c>
      <c r="K417" s="52">
        <f t="shared" si="70"/>
        <v>111353.60261025</v>
      </c>
      <c r="L417" s="52">
        <f t="shared" si="119"/>
        <v>1224889.62871275</v>
      </c>
    </row>
    <row r="418" spans="1:12" ht="30" customHeight="1" x14ac:dyDescent="0.2">
      <c r="A418" s="27" t="s">
        <v>2835</v>
      </c>
      <c r="B418" s="27" t="s">
        <v>2264</v>
      </c>
      <c r="C418" s="27"/>
      <c r="D418" s="31">
        <f t="shared" ref="D418:D421" si="121">D417+1.333</f>
        <v>17.344999999999999</v>
      </c>
      <c r="E418" s="52">
        <f t="shared" si="117"/>
        <v>35445</v>
      </c>
      <c r="F418" s="31">
        <v>1.47</v>
      </c>
      <c r="G418" s="31">
        <v>1.22</v>
      </c>
      <c r="H418" s="31">
        <v>1.25</v>
      </c>
      <c r="I418" s="31">
        <v>1.3</v>
      </c>
      <c r="J418" s="31">
        <v>1.0780000000000001</v>
      </c>
      <c r="K418" s="52">
        <f t="shared" si="70"/>
        <v>111353.60261025</v>
      </c>
      <c r="L418" s="52">
        <f t="shared" si="119"/>
        <v>1336243.231323</v>
      </c>
    </row>
    <row r="419" spans="1:12" ht="30" customHeight="1" x14ac:dyDescent="0.2">
      <c r="A419" s="27" t="s">
        <v>2836</v>
      </c>
      <c r="B419" s="27" t="s">
        <v>2266</v>
      </c>
      <c r="C419" s="27"/>
      <c r="D419" s="31">
        <f t="shared" si="121"/>
        <v>18.677999999999997</v>
      </c>
      <c r="E419" s="52">
        <f t="shared" si="117"/>
        <v>35445</v>
      </c>
      <c r="F419" s="31">
        <v>1.47</v>
      </c>
      <c r="G419" s="31">
        <v>1.22</v>
      </c>
      <c r="H419" s="31">
        <v>1.25</v>
      </c>
      <c r="I419" s="31">
        <v>1.3</v>
      </c>
      <c r="J419" s="31">
        <v>1.0780000000000001</v>
      </c>
      <c r="K419" s="52">
        <f t="shared" si="70"/>
        <v>111353.60261025</v>
      </c>
      <c r="L419" s="52">
        <f t="shared" si="119"/>
        <v>1447596.83393325</v>
      </c>
    </row>
    <row r="420" spans="1:12" ht="30" customHeight="1" x14ac:dyDescent="0.2">
      <c r="A420" s="27" t="s">
        <v>2837</v>
      </c>
      <c r="B420" s="27" t="s">
        <v>2268</v>
      </c>
      <c r="C420" s="27"/>
      <c r="D420" s="31">
        <f t="shared" si="121"/>
        <v>20.010999999999996</v>
      </c>
      <c r="E420" s="52">
        <f t="shared" si="117"/>
        <v>35445</v>
      </c>
      <c r="F420" s="31">
        <v>1.47</v>
      </c>
      <c r="G420" s="31">
        <v>1.22</v>
      </c>
      <c r="H420" s="31">
        <v>1.25</v>
      </c>
      <c r="I420" s="31">
        <v>1.3</v>
      </c>
      <c r="J420" s="31">
        <v>1.0780000000000001</v>
      </c>
      <c r="K420" s="52">
        <f t="shared" si="70"/>
        <v>111353.60261025</v>
      </c>
      <c r="L420" s="52">
        <f t="shared" si="119"/>
        <v>1558950.4365435001</v>
      </c>
    </row>
    <row r="421" spans="1:12" ht="30" customHeight="1" x14ac:dyDescent="0.2">
      <c r="A421" s="27" t="s">
        <v>2838</v>
      </c>
      <c r="B421" s="27" t="s">
        <v>2270</v>
      </c>
      <c r="C421" s="27"/>
      <c r="D421" s="31">
        <f t="shared" si="121"/>
        <v>21.343999999999994</v>
      </c>
      <c r="E421" s="52">
        <f t="shared" si="117"/>
        <v>35445</v>
      </c>
      <c r="F421" s="31">
        <v>1.47</v>
      </c>
      <c r="G421" s="31">
        <v>1.22</v>
      </c>
      <c r="H421" s="31">
        <v>1.25</v>
      </c>
      <c r="I421" s="31">
        <v>1.3</v>
      </c>
      <c r="J421" s="31">
        <v>1.0780000000000001</v>
      </c>
      <c r="K421" s="52">
        <f t="shared" si="70"/>
        <v>111353.60261025</v>
      </c>
      <c r="L421" s="52">
        <f t="shared" si="119"/>
        <v>1670304.0391537501</v>
      </c>
    </row>
    <row r="422" spans="1:12" ht="30" customHeight="1" x14ac:dyDescent="0.2">
      <c r="A422" s="27" t="s">
        <v>2839</v>
      </c>
      <c r="B422" s="27" t="s">
        <v>2272</v>
      </c>
      <c r="C422" s="27"/>
      <c r="D422" s="31">
        <f>D421+2.216</f>
        <v>23.559999999999995</v>
      </c>
      <c r="E422" s="52">
        <f t="shared" si="117"/>
        <v>35445</v>
      </c>
      <c r="F422" s="31">
        <v>1.47</v>
      </c>
      <c r="G422" s="31">
        <v>1.22</v>
      </c>
      <c r="H422" s="31">
        <v>1.25</v>
      </c>
      <c r="I422" s="31">
        <v>1.3</v>
      </c>
      <c r="J422" s="31">
        <v>1.0780000000000001</v>
      </c>
      <c r="K422" s="52">
        <f t="shared" si="70"/>
        <v>111353.60261025</v>
      </c>
      <c r="L422" s="52">
        <f t="shared" si="119"/>
        <v>1781657.6417640001</v>
      </c>
    </row>
    <row r="423" spans="1:12" ht="30" customHeight="1" x14ac:dyDescent="0.2">
      <c r="A423" s="27" t="s">
        <v>2840</v>
      </c>
      <c r="B423" s="27" t="s">
        <v>2274</v>
      </c>
      <c r="C423" s="27"/>
      <c r="D423" s="31">
        <f t="shared" ref="D423:D425" si="122">D422+1.333</f>
        <v>24.892999999999994</v>
      </c>
      <c r="E423" s="52">
        <f t="shared" si="117"/>
        <v>35445</v>
      </c>
      <c r="F423" s="31">
        <v>1.47</v>
      </c>
      <c r="G423" s="31">
        <v>1.22</v>
      </c>
      <c r="H423" s="31">
        <v>1.25</v>
      </c>
      <c r="I423" s="31">
        <v>1.3</v>
      </c>
      <c r="J423" s="31">
        <v>1.0780000000000001</v>
      </c>
      <c r="K423" s="52">
        <f t="shared" si="70"/>
        <v>111353.60261025</v>
      </c>
      <c r="L423" s="52">
        <f t="shared" si="119"/>
        <v>1893011.2443742501</v>
      </c>
    </row>
    <row r="424" spans="1:12" ht="30" customHeight="1" x14ac:dyDescent="0.2">
      <c r="A424" s="27" t="s">
        <v>2841</v>
      </c>
      <c r="B424" s="27" t="s">
        <v>2276</v>
      </c>
      <c r="C424" s="27"/>
      <c r="D424" s="31">
        <f t="shared" si="122"/>
        <v>26.225999999999992</v>
      </c>
      <c r="E424" s="52">
        <f t="shared" si="117"/>
        <v>35445</v>
      </c>
      <c r="F424" s="31">
        <v>1.47</v>
      </c>
      <c r="G424" s="31">
        <v>1.22</v>
      </c>
      <c r="H424" s="31">
        <v>1.25</v>
      </c>
      <c r="I424" s="31">
        <v>1.3</v>
      </c>
      <c r="J424" s="31">
        <v>1.0780000000000001</v>
      </c>
      <c r="K424" s="52">
        <f t="shared" si="70"/>
        <v>111353.60261025</v>
      </c>
      <c r="L424" s="52">
        <f t="shared" si="119"/>
        <v>2004364.8469845001</v>
      </c>
    </row>
    <row r="425" spans="1:12" ht="30" customHeight="1" x14ac:dyDescent="0.2">
      <c r="A425" s="27" t="s">
        <v>2842</v>
      </c>
      <c r="B425" s="27" t="s">
        <v>2278</v>
      </c>
      <c r="C425" s="27"/>
      <c r="D425" s="31">
        <f t="shared" si="122"/>
        <v>27.55899999999999</v>
      </c>
      <c r="E425" s="52">
        <f t="shared" si="117"/>
        <v>35445</v>
      </c>
      <c r="F425" s="31">
        <v>1.47</v>
      </c>
      <c r="G425" s="31">
        <v>1.22</v>
      </c>
      <c r="H425" s="31">
        <v>1.25</v>
      </c>
      <c r="I425" s="31">
        <v>1.3</v>
      </c>
      <c r="J425" s="31">
        <v>1.0780000000000001</v>
      </c>
      <c r="K425" s="52">
        <f t="shared" si="70"/>
        <v>111353.60261025</v>
      </c>
      <c r="L425" s="52">
        <f t="shared" si="119"/>
        <v>2115718.4495947501</v>
      </c>
    </row>
    <row r="426" spans="1:12" ht="30" customHeight="1" x14ac:dyDescent="0.2">
      <c r="A426" s="27" t="s">
        <v>2843</v>
      </c>
      <c r="B426" s="27" t="s">
        <v>2242</v>
      </c>
      <c r="C426" s="27"/>
      <c r="D426" s="31">
        <v>1.0660000000000001</v>
      </c>
      <c r="E426" s="52">
        <f t="shared" si="117"/>
        <v>35445</v>
      </c>
      <c r="F426" s="31"/>
      <c r="G426" s="31">
        <v>1.22</v>
      </c>
      <c r="H426" s="31">
        <v>1.25</v>
      </c>
      <c r="I426" s="31">
        <v>1.3</v>
      </c>
      <c r="J426" s="31">
        <v>1.0780000000000001</v>
      </c>
      <c r="K426" s="52">
        <f t="shared" si="70"/>
        <v>75750.750075000018</v>
      </c>
      <c r="L426" s="52">
        <f>K426</f>
        <v>75750.750075000018</v>
      </c>
    </row>
    <row r="427" spans="1:12" ht="30" customHeight="1" x14ac:dyDescent="0.2">
      <c r="A427" s="27" t="s">
        <v>2844</v>
      </c>
      <c r="B427" s="27" t="s">
        <v>2244</v>
      </c>
      <c r="C427" s="27"/>
      <c r="D427" s="31">
        <f t="shared" ref="D427:D438" si="123">D426+1.35</f>
        <v>2.4160000000000004</v>
      </c>
      <c r="E427" s="52">
        <f t="shared" si="117"/>
        <v>35445</v>
      </c>
      <c r="F427" s="31">
        <v>1.2</v>
      </c>
      <c r="G427" s="31">
        <v>1.22</v>
      </c>
      <c r="H427" s="31">
        <v>1.25</v>
      </c>
      <c r="I427" s="31">
        <v>1.3</v>
      </c>
      <c r="J427" s="31">
        <v>1.0780000000000001</v>
      </c>
      <c r="K427" s="52">
        <f t="shared" si="70"/>
        <v>90900.900089999996</v>
      </c>
      <c r="L427" s="52">
        <f t="shared" ref="L427:L444" si="124">L426+K427</f>
        <v>166651.650165</v>
      </c>
    </row>
    <row r="428" spans="1:12" ht="30" customHeight="1" x14ac:dyDescent="0.2">
      <c r="A428" s="27" t="s">
        <v>2845</v>
      </c>
      <c r="B428" s="27" t="s">
        <v>2246</v>
      </c>
      <c r="C428" s="27"/>
      <c r="D428" s="31">
        <f t="shared" si="123"/>
        <v>3.7660000000000005</v>
      </c>
      <c r="E428" s="52">
        <f t="shared" si="117"/>
        <v>35445</v>
      </c>
      <c r="F428" s="31">
        <v>1.2</v>
      </c>
      <c r="G428" s="31">
        <v>1.22</v>
      </c>
      <c r="H428" s="31">
        <v>1.25</v>
      </c>
      <c r="I428" s="31">
        <v>1.3</v>
      </c>
      <c r="J428" s="31">
        <v>1.0780000000000001</v>
      </c>
      <c r="K428" s="52">
        <f t="shared" si="70"/>
        <v>90900.900089999996</v>
      </c>
      <c r="L428" s="52">
        <f t="shared" si="124"/>
        <v>257552.55025500001</v>
      </c>
    </row>
    <row r="429" spans="1:12" ht="30" customHeight="1" x14ac:dyDescent="0.2">
      <c r="A429" s="27" t="s">
        <v>2846</v>
      </c>
      <c r="B429" s="27" t="s">
        <v>2248</v>
      </c>
      <c r="C429" s="27"/>
      <c r="D429" s="31">
        <f t="shared" si="123"/>
        <v>5.1160000000000005</v>
      </c>
      <c r="E429" s="52">
        <f t="shared" si="117"/>
        <v>35445</v>
      </c>
      <c r="F429" s="31">
        <v>1.2</v>
      </c>
      <c r="G429" s="31">
        <v>1.22</v>
      </c>
      <c r="H429" s="31">
        <v>1.25</v>
      </c>
      <c r="I429" s="31">
        <v>1.3</v>
      </c>
      <c r="J429" s="31">
        <v>1.0780000000000001</v>
      </c>
      <c r="K429" s="52">
        <f t="shared" si="70"/>
        <v>90900.900089999996</v>
      </c>
      <c r="L429" s="52">
        <f t="shared" si="124"/>
        <v>348453.45034500002</v>
      </c>
    </row>
    <row r="430" spans="1:12" ht="30" customHeight="1" x14ac:dyDescent="0.2">
      <c r="A430" s="27" t="s">
        <v>2847</v>
      </c>
      <c r="B430" s="27" t="s">
        <v>2250</v>
      </c>
      <c r="C430" s="27"/>
      <c r="D430" s="31">
        <f t="shared" si="123"/>
        <v>6.4660000000000011</v>
      </c>
      <c r="E430" s="52">
        <f t="shared" si="117"/>
        <v>35445</v>
      </c>
      <c r="F430" s="31">
        <v>1.2</v>
      </c>
      <c r="G430" s="31">
        <v>1.22</v>
      </c>
      <c r="H430" s="31">
        <v>1.25</v>
      </c>
      <c r="I430" s="31">
        <v>1.3</v>
      </c>
      <c r="J430" s="31">
        <v>1.0780000000000001</v>
      </c>
      <c r="K430" s="52">
        <f t="shared" si="70"/>
        <v>90900.900089999996</v>
      </c>
      <c r="L430" s="52">
        <f t="shared" si="124"/>
        <v>439354.35043500003</v>
      </c>
    </row>
    <row r="431" spans="1:12" ht="30" customHeight="1" x14ac:dyDescent="0.2">
      <c r="A431" s="27" t="s">
        <v>2848</v>
      </c>
      <c r="B431" s="27" t="s">
        <v>2291</v>
      </c>
      <c r="C431" s="27"/>
      <c r="D431" s="31">
        <f t="shared" si="123"/>
        <v>7.8160000000000007</v>
      </c>
      <c r="E431" s="52">
        <f t="shared" si="117"/>
        <v>35445</v>
      </c>
      <c r="F431" s="31">
        <v>1.2</v>
      </c>
      <c r="G431" s="31">
        <v>1.22</v>
      </c>
      <c r="H431" s="31">
        <v>1.25</v>
      </c>
      <c r="I431" s="31">
        <v>1.3</v>
      </c>
      <c r="J431" s="31">
        <v>1.0780000000000001</v>
      </c>
      <c r="K431" s="52">
        <f t="shared" si="70"/>
        <v>90900.900089999996</v>
      </c>
      <c r="L431" s="52">
        <f t="shared" si="124"/>
        <v>530255.25052500004</v>
      </c>
    </row>
    <row r="432" spans="1:12" ht="30" customHeight="1" x14ac:dyDescent="0.2">
      <c r="A432" s="27" t="s">
        <v>2849</v>
      </c>
      <c r="B432" s="27" t="s">
        <v>2254</v>
      </c>
      <c r="C432" s="27"/>
      <c r="D432" s="31">
        <f t="shared" si="123"/>
        <v>9.1660000000000004</v>
      </c>
      <c r="E432" s="52">
        <f t="shared" si="117"/>
        <v>35445</v>
      </c>
      <c r="F432" s="31">
        <v>1.2</v>
      </c>
      <c r="G432" s="31">
        <v>1.22</v>
      </c>
      <c r="H432" s="31">
        <v>1.25</v>
      </c>
      <c r="I432" s="31">
        <v>1.3</v>
      </c>
      <c r="J432" s="31">
        <v>1.0780000000000001</v>
      </c>
      <c r="K432" s="52">
        <f t="shared" si="70"/>
        <v>90900.900089999996</v>
      </c>
      <c r="L432" s="52">
        <f t="shared" si="124"/>
        <v>621156.15061500005</v>
      </c>
    </row>
    <row r="433" spans="1:12" ht="30" customHeight="1" x14ac:dyDescent="0.2">
      <c r="A433" s="27" t="s">
        <v>2850</v>
      </c>
      <c r="B433" s="27" t="s">
        <v>2256</v>
      </c>
      <c r="C433" s="27"/>
      <c r="D433" s="31">
        <f t="shared" si="123"/>
        <v>10.516</v>
      </c>
      <c r="E433" s="52">
        <f t="shared" si="117"/>
        <v>35445</v>
      </c>
      <c r="F433" s="31">
        <v>1.2</v>
      </c>
      <c r="G433" s="31">
        <v>1.22</v>
      </c>
      <c r="H433" s="31">
        <v>1.25</v>
      </c>
      <c r="I433" s="31">
        <v>1.3</v>
      </c>
      <c r="J433" s="31">
        <v>1.0780000000000001</v>
      </c>
      <c r="K433" s="52">
        <f t="shared" si="70"/>
        <v>90900.900089999996</v>
      </c>
      <c r="L433" s="52">
        <f t="shared" si="124"/>
        <v>712057.05070500006</v>
      </c>
    </row>
    <row r="434" spans="1:12" ht="30" customHeight="1" x14ac:dyDescent="0.2">
      <c r="A434" s="27" t="s">
        <v>2851</v>
      </c>
      <c r="B434" s="27" t="s">
        <v>2258</v>
      </c>
      <c r="C434" s="27"/>
      <c r="D434" s="31">
        <f t="shared" si="123"/>
        <v>11.866</v>
      </c>
      <c r="E434" s="52">
        <f t="shared" si="117"/>
        <v>35445</v>
      </c>
      <c r="F434" s="31">
        <v>1.2</v>
      </c>
      <c r="G434" s="31">
        <v>1.22</v>
      </c>
      <c r="H434" s="31">
        <v>1.25</v>
      </c>
      <c r="I434" s="31">
        <v>1.3</v>
      </c>
      <c r="J434" s="31">
        <v>1.0780000000000001</v>
      </c>
      <c r="K434" s="52">
        <f t="shared" si="70"/>
        <v>90900.900089999996</v>
      </c>
      <c r="L434" s="52">
        <f t="shared" si="124"/>
        <v>802957.95079500007</v>
      </c>
    </row>
    <row r="435" spans="1:12" ht="30" customHeight="1" x14ac:dyDescent="0.2">
      <c r="A435" s="27" t="s">
        <v>2852</v>
      </c>
      <c r="B435" s="27" t="s">
        <v>2260</v>
      </c>
      <c r="C435" s="27"/>
      <c r="D435" s="31">
        <f t="shared" si="123"/>
        <v>13.215999999999999</v>
      </c>
      <c r="E435" s="52">
        <f t="shared" si="117"/>
        <v>35445</v>
      </c>
      <c r="F435" s="31">
        <v>1.2</v>
      </c>
      <c r="G435" s="31">
        <v>1.22</v>
      </c>
      <c r="H435" s="31">
        <v>1.25</v>
      </c>
      <c r="I435" s="31">
        <v>1.3</v>
      </c>
      <c r="J435" s="31">
        <v>1.0780000000000001</v>
      </c>
      <c r="K435" s="52">
        <f t="shared" si="70"/>
        <v>90900.900089999996</v>
      </c>
      <c r="L435" s="52">
        <f t="shared" si="124"/>
        <v>893858.85088500008</v>
      </c>
    </row>
    <row r="436" spans="1:12" ht="30" customHeight="1" x14ac:dyDescent="0.2">
      <c r="A436" s="27" t="s">
        <v>2853</v>
      </c>
      <c r="B436" s="27" t="s">
        <v>2297</v>
      </c>
      <c r="C436" s="27"/>
      <c r="D436" s="31">
        <f t="shared" si="123"/>
        <v>14.565999999999999</v>
      </c>
      <c r="E436" s="52">
        <f t="shared" si="117"/>
        <v>35445</v>
      </c>
      <c r="F436" s="31">
        <v>1.2</v>
      </c>
      <c r="G436" s="31">
        <v>1.22</v>
      </c>
      <c r="H436" s="31">
        <v>1.25</v>
      </c>
      <c r="I436" s="31">
        <v>1.3</v>
      </c>
      <c r="J436" s="31">
        <v>1.0780000000000001</v>
      </c>
      <c r="K436" s="52">
        <f t="shared" si="70"/>
        <v>90900.900089999996</v>
      </c>
      <c r="L436" s="52">
        <f t="shared" si="124"/>
        <v>984759.75097500009</v>
      </c>
    </row>
    <row r="437" spans="1:12" ht="30" customHeight="1" x14ac:dyDescent="0.2">
      <c r="A437" s="27" t="s">
        <v>2854</v>
      </c>
      <c r="B437" s="27" t="s">
        <v>2264</v>
      </c>
      <c r="C437" s="27"/>
      <c r="D437" s="31">
        <f t="shared" si="123"/>
        <v>15.915999999999999</v>
      </c>
      <c r="E437" s="52">
        <f t="shared" si="117"/>
        <v>35445</v>
      </c>
      <c r="F437" s="31">
        <v>1.2</v>
      </c>
      <c r="G437" s="31">
        <v>1.22</v>
      </c>
      <c r="H437" s="31">
        <v>1.25</v>
      </c>
      <c r="I437" s="31">
        <v>1.3</v>
      </c>
      <c r="J437" s="31">
        <v>1.0780000000000001</v>
      </c>
      <c r="K437" s="52">
        <f t="shared" si="70"/>
        <v>90900.900089999996</v>
      </c>
      <c r="L437" s="52">
        <f t="shared" si="124"/>
        <v>1075660.6510650001</v>
      </c>
    </row>
    <row r="438" spans="1:12" ht="30" customHeight="1" x14ac:dyDescent="0.2">
      <c r="A438" s="27" t="s">
        <v>2855</v>
      </c>
      <c r="B438" s="27" t="s">
        <v>2266</v>
      </c>
      <c r="C438" s="27"/>
      <c r="D438" s="31">
        <f t="shared" si="123"/>
        <v>17.265999999999998</v>
      </c>
      <c r="E438" s="52">
        <f t="shared" si="117"/>
        <v>35445</v>
      </c>
      <c r="F438" s="31">
        <v>1.2</v>
      </c>
      <c r="G438" s="31">
        <v>1.22</v>
      </c>
      <c r="H438" s="31">
        <v>1.25</v>
      </c>
      <c r="I438" s="31">
        <v>1.3</v>
      </c>
      <c r="J438" s="31">
        <v>1.0780000000000001</v>
      </c>
      <c r="K438" s="52">
        <f t="shared" si="70"/>
        <v>90900.900089999996</v>
      </c>
      <c r="L438" s="52">
        <f t="shared" si="124"/>
        <v>1166561.551155</v>
      </c>
    </row>
    <row r="439" spans="1:12" ht="30" customHeight="1" x14ac:dyDescent="0.2">
      <c r="A439" s="27" t="s">
        <v>2856</v>
      </c>
      <c r="B439" s="27" t="s">
        <v>2414</v>
      </c>
      <c r="C439" s="27"/>
      <c r="D439" s="31">
        <f>D438+0.816+1.066</f>
        <v>19.147999999999996</v>
      </c>
      <c r="E439" s="52">
        <f t="shared" si="117"/>
        <v>35445</v>
      </c>
      <c r="F439" s="31">
        <v>1.2</v>
      </c>
      <c r="G439" s="31">
        <v>1.22</v>
      </c>
      <c r="H439" s="31">
        <v>1.25</v>
      </c>
      <c r="I439" s="31">
        <v>1.3</v>
      </c>
      <c r="J439" s="31">
        <v>1.0780000000000001</v>
      </c>
      <c r="K439" s="52">
        <f t="shared" si="70"/>
        <v>90900.900089999996</v>
      </c>
      <c r="L439" s="52">
        <f t="shared" si="124"/>
        <v>1257462.4512449999</v>
      </c>
    </row>
    <row r="440" spans="1:12" ht="30" customHeight="1" x14ac:dyDescent="0.2">
      <c r="A440" s="27" t="s">
        <v>2857</v>
      </c>
      <c r="B440" s="27" t="s">
        <v>2270</v>
      </c>
      <c r="C440" s="27"/>
      <c r="D440" s="31">
        <f t="shared" ref="D440:D444" si="125">D439+1.35</f>
        <v>20.497999999999998</v>
      </c>
      <c r="E440" s="52">
        <f t="shared" si="117"/>
        <v>35445</v>
      </c>
      <c r="F440" s="31">
        <v>1.2</v>
      </c>
      <c r="G440" s="31">
        <v>1.22</v>
      </c>
      <c r="H440" s="31">
        <v>1.25</v>
      </c>
      <c r="I440" s="31">
        <v>1.3</v>
      </c>
      <c r="J440" s="31">
        <v>1.0780000000000001</v>
      </c>
      <c r="K440" s="52">
        <f t="shared" si="70"/>
        <v>90900.900089999996</v>
      </c>
      <c r="L440" s="52">
        <f t="shared" si="124"/>
        <v>1348363.3513349998</v>
      </c>
    </row>
    <row r="441" spans="1:12" ht="30" customHeight="1" x14ac:dyDescent="0.2">
      <c r="A441" s="27" t="s">
        <v>2858</v>
      </c>
      <c r="B441" s="27" t="s">
        <v>2303</v>
      </c>
      <c r="C441" s="27"/>
      <c r="D441" s="31">
        <f t="shared" si="125"/>
        <v>21.847999999999999</v>
      </c>
      <c r="E441" s="52">
        <f t="shared" si="117"/>
        <v>35445</v>
      </c>
      <c r="F441" s="31">
        <v>1.2</v>
      </c>
      <c r="G441" s="31">
        <v>1.22</v>
      </c>
      <c r="H441" s="31">
        <v>1.25</v>
      </c>
      <c r="I441" s="31">
        <v>1.3</v>
      </c>
      <c r="J441" s="31">
        <v>1.0780000000000001</v>
      </c>
      <c r="K441" s="52">
        <f t="shared" si="70"/>
        <v>90900.900089999996</v>
      </c>
      <c r="L441" s="52">
        <f t="shared" si="124"/>
        <v>1439264.2514249997</v>
      </c>
    </row>
    <row r="442" spans="1:12" ht="30" customHeight="1" x14ac:dyDescent="0.2">
      <c r="A442" s="27" t="s">
        <v>2859</v>
      </c>
      <c r="B442" s="27" t="s">
        <v>2274</v>
      </c>
      <c r="C442" s="27"/>
      <c r="D442" s="31">
        <f t="shared" si="125"/>
        <v>23.198</v>
      </c>
      <c r="E442" s="52">
        <f t="shared" si="117"/>
        <v>35445</v>
      </c>
      <c r="F442" s="31">
        <v>1.2</v>
      </c>
      <c r="G442" s="31">
        <v>1.22</v>
      </c>
      <c r="H442" s="31">
        <v>1.25</v>
      </c>
      <c r="I442" s="31">
        <v>1.3</v>
      </c>
      <c r="J442" s="31">
        <v>1.0780000000000001</v>
      </c>
      <c r="K442" s="52">
        <f t="shared" si="70"/>
        <v>90900.900089999996</v>
      </c>
      <c r="L442" s="52">
        <f t="shared" si="124"/>
        <v>1530165.1515149996</v>
      </c>
    </row>
    <row r="443" spans="1:12" ht="30" customHeight="1" x14ac:dyDescent="0.2">
      <c r="A443" s="27" t="s">
        <v>2860</v>
      </c>
      <c r="B443" s="27" t="s">
        <v>2276</v>
      </c>
      <c r="C443" s="27"/>
      <c r="D443" s="31">
        <f t="shared" si="125"/>
        <v>24.548000000000002</v>
      </c>
      <c r="E443" s="52">
        <f t="shared" si="117"/>
        <v>35445</v>
      </c>
      <c r="F443" s="31">
        <v>1.2</v>
      </c>
      <c r="G443" s="31">
        <v>1.22</v>
      </c>
      <c r="H443" s="31">
        <v>1.25</v>
      </c>
      <c r="I443" s="31">
        <v>1.3</v>
      </c>
      <c r="J443" s="31">
        <v>1.0780000000000001</v>
      </c>
      <c r="K443" s="52">
        <f t="shared" si="70"/>
        <v>90900.900089999996</v>
      </c>
      <c r="L443" s="52">
        <f t="shared" si="124"/>
        <v>1621066.0516049995</v>
      </c>
    </row>
    <row r="444" spans="1:12" ht="30" customHeight="1" x14ac:dyDescent="0.2">
      <c r="A444" s="27" t="s">
        <v>2861</v>
      </c>
      <c r="B444" s="27" t="s">
        <v>2278</v>
      </c>
      <c r="C444" s="27"/>
      <c r="D444" s="31">
        <f t="shared" si="125"/>
        <v>25.898000000000003</v>
      </c>
      <c r="E444" s="52">
        <f t="shared" si="117"/>
        <v>35445</v>
      </c>
      <c r="F444" s="31">
        <v>1.2</v>
      </c>
      <c r="G444" s="31">
        <v>1.22</v>
      </c>
      <c r="H444" s="31">
        <v>1.25</v>
      </c>
      <c r="I444" s="31">
        <v>1.3</v>
      </c>
      <c r="J444" s="31">
        <v>1.0780000000000001</v>
      </c>
      <c r="K444" s="52">
        <f t="shared" si="70"/>
        <v>90900.900089999996</v>
      </c>
      <c r="L444" s="52">
        <f t="shared" si="124"/>
        <v>1711966.9516949994</v>
      </c>
    </row>
    <row r="445" spans="1:12" ht="30" customHeight="1" x14ac:dyDescent="0.2">
      <c r="A445" s="27" t="s">
        <v>2862</v>
      </c>
      <c r="B445" s="27" t="s">
        <v>2863</v>
      </c>
      <c r="C445" s="27"/>
      <c r="D445" s="31">
        <v>0</v>
      </c>
      <c r="E445" s="52">
        <v>115423</v>
      </c>
      <c r="F445" s="31"/>
      <c r="G445" s="31">
        <v>1.22</v>
      </c>
      <c r="H445" s="31">
        <v>1.25</v>
      </c>
      <c r="I445" s="31">
        <v>1.3</v>
      </c>
      <c r="J445" s="31"/>
      <c r="K445" s="52">
        <f t="shared" si="70"/>
        <v>228826.09750000003</v>
      </c>
      <c r="L445" s="52">
        <f>K445</f>
        <v>228826.09750000003</v>
      </c>
    </row>
    <row r="446" spans="1:12" ht="30" customHeight="1" x14ac:dyDescent="0.2">
      <c r="A446" s="27" t="s">
        <v>2864</v>
      </c>
      <c r="B446" s="27" t="s">
        <v>2865</v>
      </c>
      <c r="C446" s="27"/>
      <c r="D446" s="31">
        <f t="shared" ref="D446:D451" si="126">D445+3.2</f>
        <v>3.2</v>
      </c>
      <c r="E446" s="52">
        <v>115423</v>
      </c>
      <c r="F446" s="31"/>
      <c r="G446" s="31">
        <v>1.22</v>
      </c>
      <c r="H446" s="31">
        <v>1.25</v>
      </c>
      <c r="I446" s="31">
        <v>1.3</v>
      </c>
      <c r="J446" s="31"/>
      <c r="K446" s="52">
        <f t="shared" si="70"/>
        <v>228826.09750000003</v>
      </c>
      <c r="L446" s="52">
        <f t="shared" ref="L446:L451" si="127">K446+L445</f>
        <v>457652.19500000007</v>
      </c>
    </row>
    <row r="447" spans="1:12" ht="30" customHeight="1" x14ac:dyDescent="0.2">
      <c r="A447" s="27" t="s">
        <v>2866</v>
      </c>
      <c r="B447" s="27" t="s">
        <v>2867</v>
      </c>
      <c r="C447" s="27"/>
      <c r="D447" s="31">
        <f t="shared" si="126"/>
        <v>6.4</v>
      </c>
      <c r="E447" s="52">
        <v>115423</v>
      </c>
      <c r="F447" s="31"/>
      <c r="G447" s="31">
        <v>1.22</v>
      </c>
      <c r="H447" s="31">
        <v>1.25</v>
      </c>
      <c r="I447" s="31">
        <v>1.3</v>
      </c>
      <c r="J447" s="31"/>
      <c r="K447" s="52">
        <f t="shared" si="70"/>
        <v>228826.09750000003</v>
      </c>
      <c r="L447" s="52">
        <f t="shared" si="127"/>
        <v>686478.2925000001</v>
      </c>
    </row>
    <row r="448" spans="1:12" ht="30" customHeight="1" x14ac:dyDescent="0.2">
      <c r="A448" s="27" t="s">
        <v>2868</v>
      </c>
      <c r="B448" s="27" t="s">
        <v>2869</v>
      </c>
      <c r="C448" s="27"/>
      <c r="D448" s="31">
        <f t="shared" si="126"/>
        <v>9.6000000000000014</v>
      </c>
      <c r="E448" s="52">
        <v>115423</v>
      </c>
      <c r="F448" s="31"/>
      <c r="G448" s="31">
        <v>1.22</v>
      </c>
      <c r="H448" s="31">
        <v>1.25</v>
      </c>
      <c r="I448" s="31">
        <v>1.3</v>
      </c>
      <c r="J448" s="31"/>
      <c r="K448" s="52">
        <f t="shared" si="70"/>
        <v>228826.09750000003</v>
      </c>
      <c r="L448" s="52">
        <f t="shared" si="127"/>
        <v>915304.39000000013</v>
      </c>
    </row>
    <row r="449" spans="1:12" ht="30" customHeight="1" x14ac:dyDescent="0.2">
      <c r="A449" s="27" t="s">
        <v>2870</v>
      </c>
      <c r="B449" s="27" t="s">
        <v>2871</v>
      </c>
      <c r="C449" s="27"/>
      <c r="D449" s="31">
        <f t="shared" si="126"/>
        <v>12.8</v>
      </c>
      <c r="E449" s="52">
        <v>115423</v>
      </c>
      <c r="F449" s="31"/>
      <c r="G449" s="31">
        <v>1.22</v>
      </c>
      <c r="H449" s="31">
        <v>1.25</v>
      </c>
      <c r="I449" s="31">
        <v>1.3</v>
      </c>
      <c r="J449" s="31"/>
      <c r="K449" s="52">
        <f t="shared" si="70"/>
        <v>228826.09750000003</v>
      </c>
      <c r="L449" s="52">
        <f t="shared" si="127"/>
        <v>1144130.4875000003</v>
      </c>
    </row>
    <row r="450" spans="1:12" ht="30" customHeight="1" x14ac:dyDescent="0.2">
      <c r="A450" s="27" t="s">
        <v>2872</v>
      </c>
      <c r="B450" s="27" t="s">
        <v>2873</v>
      </c>
      <c r="C450" s="27"/>
      <c r="D450" s="31">
        <f t="shared" si="126"/>
        <v>16</v>
      </c>
      <c r="E450" s="52">
        <v>115423</v>
      </c>
      <c r="F450" s="31"/>
      <c r="G450" s="31">
        <v>1.22</v>
      </c>
      <c r="H450" s="31">
        <v>1.25</v>
      </c>
      <c r="I450" s="31">
        <v>1.3</v>
      </c>
      <c r="J450" s="31"/>
      <c r="K450" s="52">
        <f t="shared" si="70"/>
        <v>228826.09750000003</v>
      </c>
      <c r="L450" s="52">
        <f t="shared" si="127"/>
        <v>1372956.5850000004</v>
      </c>
    </row>
    <row r="451" spans="1:12" ht="30" customHeight="1" x14ac:dyDescent="0.2">
      <c r="A451" s="27" t="s">
        <v>2874</v>
      </c>
      <c r="B451" s="27" t="s">
        <v>2875</v>
      </c>
      <c r="C451" s="27"/>
      <c r="D451" s="31">
        <f t="shared" si="126"/>
        <v>19.2</v>
      </c>
      <c r="E451" s="52">
        <f>E450/5*3</f>
        <v>69253.799999999988</v>
      </c>
      <c r="F451" s="31"/>
      <c r="G451" s="31">
        <v>1.22</v>
      </c>
      <c r="H451" s="31">
        <v>1.25</v>
      </c>
      <c r="I451" s="31">
        <v>1.3</v>
      </c>
      <c r="J451" s="31"/>
      <c r="K451" s="52">
        <f t="shared" si="70"/>
        <v>137295.65849999999</v>
      </c>
      <c r="L451" s="52">
        <f t="shared" si="127"/>
        <v>1510252.2435000003</v>
      </c>
    </row>
    <row r="452" spans="1:12" ht="30" customHeight="1" x14ac:dyDescent="0.2">
      <c r="A452" s="27" t="s">
        <v>901</v>
      </c>
      <c r="B452" s="27" t="s">
        <v>2876</v>
      </c>
      <c r="C452" s="27"/>
      <c r="D452" s="31">
        <v>0</v>
      </c>
      <c r="E452" s="52">
        <v>0</v>
      </c>
      <c r="F452" s="31"/>
      <c r="G452" s="31"/>
      <c r="H452" s="31"/>
      <c r="I452" s="31"/>
      <c r="J452" s="31"/>
      <c r="K452" s="52">
        <f t="shared" si="70"/>
        <v>0</v>
      </c>
      <c r="L452" s="52">
        <v>0</v>
      </c>
    </row>
    <row r="453" spans="1:12" ht="30" customHeight="1" x14ac:dyDescent="0.2">
      <c r="A453" s="27" t="s">
        <v>901</v>
      </c>
      <c r="B453" s="27" t="s">
        <v>2877</v>
      </c>
      <c r="C453" s="27"/>
      <c r="D453" s="31">
        <v>120</v>
      </c>
      <c r="E453" s="52">
        <f>3908*120</f>
        <v>468960</v>
      </c>
      <c r="F453" s="31"/>
      <c r="G453" s="31"/>
      <c r="H453" s="31"/>
      <c r="I453" s="31">
        <v>1.3</v>
      </c>
      <c r="J453" s="31"/>
      <c r="K453" s="52">
        <f t="shared" si="70"/>
        <v>609648</v>
      </c>
      <c r="L453" s="52">
        <f t="shared" ref="L453:L454" si="128">K453</f>
        <v>609648</v>
      </c>
    </row>
    <row r="454" spans="1:12" ht="30" customHeight="1" x14ac:dyDescent="0.2">
      <c r="A454" s="27" t="s">
        <v>2878</v>
      </c>
      <c r="B454" s="27" t="s">
        <v>2879</v>
      </c>
      <c r="C454" s="27"/>
      <c r="D454" s="31">
        <v>1.4159999999999999</v>
      </c>
      <c r="E454" s="52">
        <f t="shared" ref="E454:E472" si="129">261979/3</f>
        <v>87326.333333333328</v>
      </c>
      <c r="F454" s="31"/>
      <c r="G454" s="31">
        <v>1.22</v>
      </c>
      <c r="H454" s="31">
        <v>1.25</v>
      </c>
      <c r="I454" s="31">
        <v>1.3</v>
      </c>
      <c r="J454" s="31"/>
      <c r="K454" s="52">
        <f t="shared" si="70"/>
        <v>173124.45583333334</v>
      </c>
      <c r="L454" s="52">
        <f t="shared" si="128"/>
        <v>173124.45583333334</v>
      </c>
    </row>
    <row r="455" spans="1:12" ht="30" customHeight="1" x14ac:dyDescent="0.2">
      <c r="A455" s="27" t="s">
        <v>2880</v>
      </c>
      <c r="B455" s="27" t="s">
        <v>2244</v>
      </c>
      <c r="C455" s="27"/>
      <c r="D455" s="31">
        <f t="shared" ref="D455:D456" si="130">D454+1.183</f>
        <v>2.5990000000000002</v>
      </c>
      <c r="E455" s="52">
        <f t="shared" si="129"/>
        <v>87326.333333333328</v>
      </c>
      <c r="F455" s="31"/>
      <c r="G455" s="31">
        <v>1.22</v>
      </c>
      <c r="H455" s="31">
        <v>1.25</v>
      </c>
      <c r="I455" s="31">
        <v>1.3</v>
      </c>
      <c r="J455" s="31"/>
      <c r="K455" s="52">
        <f t="shared" si="70"/>
        <v>173124.45583333334</v>
      </c>
      <c r="L455" s="52">
        <f t="shared" ref="L455:L472" si="131">K455+L454</f>
        <v>346248.91166666668</v>
      </c>
    </row>
    <row r="456" spans="1:12" ht="30" customHeight="1" x14ac:dyDescent="0.2">
      <c r="A456" s="27" t="s">
        <v>2881</v>
      </c>
      <c r="B456" s="27" t="s">
        <v>2246</v>
      </c>
      <c r="C456" s="27"/>
      <c r="D456" s="31">
        <f t="shared" si="130"/>
        <v>3.782</v>
      </c>
      <c r="E456" s="52">
        <f t="shared" si="129"/>
        <v>87326.333333333328</v>
      </c>
      <c r="F456" s="31"/>
      <c r="G456" s="31">
        <v>1.22</v>
      </c>
      <c r="H456" s="31">
        <v>1.25</v>
      </c>
      <c r="I456" s="31">
        <v>1.3</v>
      </c>
      <c r="J456" s="31"/>
      <c r="K456" s="52">
        <f t="shared" si="70"/>
        <v>173124.45583333334</v>
      </c>
      <c r="L456" s="52">
        <f t="shared" si="131"/>
        <v>519373.36750000005</v>
      </c>
    </row>
    <row r="457" spans="1:12" ht="30" customHeight="1" x14ac:dyDescent="0.2">
      <c r="A457" s="27" t="s">
        <v>2882</v>
      </c>
      <c r="B457" s="27" t="s">
        <v>2883</v>
      </c>
      <c r="C457" s="27"/>
      <c r="D457" s="31">
        <f>D456+1.55</f>
        <v>5.3319999999999999</v>
      </c>
      <c r="E457" s="52">
        <f t="shared" si="129"/>
        <v>87326.333333333328</v>
      </c>
      <c r="F457" s="31"/>
      <c r="G457" s="31">
        <v>1.22</v>
      </c>
      <c r="H457" s="31">
        <v>1.25</v>
      </c>
      <c r="I457" s="31">
        <v>1.3</v>
      </c>
      <c r="J457" s="31"/>
      <c r="K457" s="52">
        <f t="shared" si="70"/>
        <v>173124.45583333334</v>
      </c>
      <c r="L457" s="52">
        <f t="shared" si="131"/>
        <v>692497.82333333336</v>
      </c>
    </row>
    <row r="458" spans="1:12" ht="30" customHeight="1" x14ac:dyDescent="0.2">
      <c r="A458" s="27" t="s">
        <v>2884</v>
      </c>
      <c r="B458" s="27" t="s">
        <v>2250</v>
      </c>
      <c r="C458" s="27"/>
      <c r="D458" s="31">
        <f t="shared" ref="D458:D459" si="132">D457+1.183</f>
        <v>6.5149999999999997</v>
      </c>
      <c r="E458" s="52">
        <f t="shared" si="129"/>
        <v>87326.333333333328</v>
      </c>
      <c r="F458" s="31"/>
      <c r="G458" s="31">
        <v>1.22</v>
      </c>
      <c r="H458" s="31">
        <v>1.25</v>
      </c>
      <c r="I458" s="31">
        <v>1.3</v>
      </c>
      <c r="J458" s="31"/>
      <c r="K458" s="52">
        <f t="shared" si="70"/>
        <v>173124.45583333334</v>
      </c>
      <c r="L458" s="52">
        <f t="shared" si="131"/>
        <v>865622.27916666667</v>
      </c>
    </row>
    <row r="459" spans="1:12" ht="30" customHeight="1" x14ac:dyDescent="0.2">
      <c r="A459" s="27" t="s">
        <v>2885</v>
      </c>
      <c r="B459" s="27" t="s">
        <v>2291</v>
      </c>
      <c r="C459" s="27"/>
      <c r="D459" s="31">
        <f t="shared" si="132"/>
        <v>7.6979999999999995</v>
      </c>
      <c r="E459" s="52">
        <f t="shared" si="129"/>
        <v>87326.333333333328</v>
      </c>
      <c r="F459" s="31"/>
      <c r="G459" s="31">
        <v>1.22</v>
      </c>
      <c r="H459" s="31">
        <v>1.25</v>
      </c>
      <c r="I459" s="31">
        <v>1.3</v>
      </c>
      <c r="J459" s="31"/>
      <c r="K459" s="52">
        <f t="shared" si="70"/>
        <v>173124.45583333334</v>
      </c>
      <c r="L459" s="52">
        <f t="shared" si="131"/>
        <v>1038746.735</v>
      </c>
    </row>
    <row r="460" spans="1:12" ht="30" customHeight="1" x14ac:dyDescent="0.2">
      <c r="A460" s="27" t="s">
        <v>2886</v>
      </c>
      <c r="B460" s="27" t="s">
        <v>2887</v>
      </c>
      <c r="C460" s="27"/>
      <c r="D460" s="31">
        <f>D459+1.55</f>
        <v>9.2479999999999993</v>
      </c>
      <c r="E460" s="52">
        <f t="shared" si="129"/>
        <v>87326.333333333328</v>
      </c>
      <c r="F460" s="31"/>
      <c r="G460" s="31">
        <v>1.22</v>
      </c>
      <c r="H460" s="31">
        <v>1.25</v>
      </c>
      <c r="I460" s="31">
        <v>1.3</v>
      </c>
      <c r="J460" s="31"/>
      <c r="K460" s="52">
        <f t="shared" si="70"/>
        <v>173124.45583333334</v>
      </c>
      <c r="L460" s="52">
        <f t="shared" si="131"/>
        <v>1211871.1908333334</v>
      </c>
    </row>
    <row r="461" spans="1:12" ht="30" customHeight="1" x14ac:dyDescent="0.2">
      <c r="A461" s="27" t="s">
        <v>2888</v>
      </c>
      <c r="B461" s="27" t="s">
        <v>2256</v>
      </c>
      <c r="C461" s="27"/>
      <c r="D461" s="31">
        <f t="shared" ref="D461:D462" si="133">D460+1.183</f>
        <v>10.430999999999999</v>
      </c>
      <c r="E461" s="52">
        <f t="shared" si="129"/>
        <v>87326.333333333328</v>
      </c>
      <c r="F461" s="31"/>
      <c r="G461" s="31">
        <v>1.22</v>
      </c>
      <c r="H461" s="31">
        <v>1.25</v>
      </c>
      <c r="I461" s="31">
        <v>1.3</v>
      </c>
      <c r="J461" s="31"/>
      <c r="K461" s="52">
        <f t="shared" si="70"/>
        <v>173124.45583333334</v>
      </c>
      <c r="L461" s="52">
        <f t="shared" si="131"/>
        <v>1384995.6466666667</v>
      </c>
    </row>
    <row r="462" spans="1:12" ht="30" customHeight="1" x14ac:dyDescent="0.2">
      <c r="A462" s="27" t="s">
        <v>2889</v>
      </c>
      <c r="B462" s="27" t="s">
        <v>2258</v>
      </c>
      <c r="C462" s="27"/>
      <c r="D462" s="31">
        <f t="shared" si="133"/>
        <v>11.613999999999999</v>
      </c>
      <c r="E462" s="52">
        <f t="shared" si="129"/>
        <v>87326.333333333328</v>
      </c>
      <c r="F462" s="31"/>
      <c r="G462" s="31">
        <v>1.22</v>
      </c>
      <c r="H462" s="31">
        <v>1.25</v>
      </c>
      <c r="I462" s="31">
        <v>1.3</v>
      </c>
      <c r="J462" s="31"/>
      <c r="K462" s="52">
        <f t="shared" si="70"/>
        <v>173124.45583333334</v>
      </c>
      <c r="L462" s="52">
        <f t="shared" si="131"/>
        <v>1558120.1025</v>
      </c>
    </row>
    <row r="463" spans="1:12" ht="30" customHeight="1" x14ac:dyDescent="0.2">
      <c r="A463" s="27" t="s">
        <v>2890</v>
      </c>
      <c r="B463" s="27" t="s">
        <v>2891</v>
      </c>
      <c r="C463" s="27"/>
      <c r="D463" s="31">
        <f>D462+1.55</f>
        <v>13.164</v>
      </c>
      <c r="E463" s="52">
        <f t="shared" si="129"/>
        <v>87326.333333333328</v>
      </c>
      <c r="F463" s="31"/>
      <c r="G463" s="31">
        <v>1.22</v>
      </c>
      <c r="H463" s="31">
        <v>1.25</v>
      </c>
      <c r="I463" s="31">
        <v>1.3</v>
      </c>
      <c r="J463" s="31"/>
      <c r="K463" s="52">
        <f t="shared" si="70"/>
        <v>173124.45583333334</v>
      </c>
      <c r="L463" s="52">
        <f t="shared" si="131"/>
        <v>1731244.5583333333</v>
      </c>
    </row>
    <row r="464" spans="1:12" ht="30" customHeight="1" x14ac:dyDescent="0.2">
      <c r="A464" s="27" t="s">
        <v>2892</v>
      </c>
      <c r="B464" s="27" t="s">
        <v>2297</v>
      </c>
      <c r="C464" s="27"/>
      <c r="D464" s="31">
        <f t="shared" ref="D464:D465" si="134">D463+1.183</f>
        <v>14.347</v>
      </c>
      <c r="E464" s="52">
        <f t="shared" si="129"/>
        <v>87326.333333333328</v>
      </c>
      <c r="F464" s="31"/>
      <c r="G464" s="31">
        <v>1.22</v>
      </c>
      <c r="H464" s="31">
        <v>1.25</v>
      </c>
      <c r="I464" s="31">
        <v>1.3</v>
      </c>
      <c r="J464" s="31"/>
      <c r="K464" s="52">
        <f t="shared" si="70"/>
        <v>173124.45583333334</v>
      </c>
      <c r="L464" s="52">
        <f t="shared" si="131"/>
        <v>1904369.0141666667</v>
      </c>
    </row>
    <row r="465" spans="1:12" ht="30" customHeight="1" x14ac:dyDescent="0.2">
      <c r="A465" s="27" t="s">
        <v>2893</v>
      </c>
      <c r="B465" s="27" t="s">
        <v>2264</v>
      </c>
      <c r="C465" s="27"/>
      <c r="D465" s="31">
        <f t="shared" si="134"/>
        <v>15.53</v>
      </c>
      <c r="E465" s="52">
        <f t="shared" si="129"/>
        <v>87326.333333333328</v>
      </c>
      <c r="F465" s="31"/>
      <c r="G465" s="31">
        <v>1.22</v>
      </c>
      <c r="H465" s="31">
        <v>1.25</v>
      </c>
      <c r="I465" s="31">
        <v>1.3</v>
      </c>
      <c r="J465" s="31"/>
      <c r="K465" s="52">
        <f t="shared" si="70"/>
        <v>173124.45583333334</v>
      </c>
      <c r="L465" s="52">
        <f t="shared" si="131"/>
        <v>2077493.47</v>
      </c>
    </row>
    <row r="466" spans="1:12" ht="30" customHeight="1" x14ac:dyDescent="0.2">
      <c r="A466" s="27" t="s">
        <v>2894</v>
      </c>
      <c r="B466" s="27" t="s">
        <v>2895</v>
      </c>
      <c r="C466" s="27"/>
      <c r="D466" s="31">
        <f>D465+1.55</f>
        <v>17.079999999999998</v>
      </c>
      <c r="E466" s="52">
        <f t="shared" si="129"/>
        <v>87326.333333333328</v>
      </c>
      <c r="F466" s="31"/>
      <c r="G466" s="31">
        <v>1.22</v>
      </c>
      <c r="H466" s="31">
        <v>1.25</v>
      </c>
      <c r="I466" s="31">
        <v>1.3</v>
      </c>
      <c r="J466" s="31"/>
      <c r="K466" s="52">
        <f t="shared" si="70"/>
        <v>173124.45583333334</v>
      </c>
      <c r="L466" s="52">
        <f t="shared" si="131"/>
        <v>2250617.9258333333</v>
      </c>
    </row>
    <row r="467" spans="1:12" ht="30" customHeight="1" x14ac:dyDescent="0.2">
      <c r="A467" s="27" t="s">
        <v>2896</v>
      </c>
      <c r="B467" s="27" t="s">
        <v>2268</v>
      </c>
      <c r="C467" s="27"/>
      <c r="D467" s="31">
        <f t="shared" ref="D467:D468" si="135">D466+1.183</f>
        <v>18.262999999999998</v>
      </c>
      <c r="E467" s="52">
        <f t="shared" si="129"/>
        <v>87326.333333333328</v>
      </c>
      <c r="F467" s="31"/>
      <c r="G467" s="31">
        <v>1.22</v>
      </c>
      <c r="H467" s="31">
        <v>1.25</v>
      </c>
      <c r="I467" s="31">
        <v>1.3</v>
      </c>
      <c r="J467" s="31"/>
      <c r="K467" s="52">
        <f t="shared" si="70"/>
        <v>173124.45583333334</v>
      </c>
      <c r="L467" s="52">
        <f t="shared" si="131"/>
        <v>2423742.3816666668</v>
      </c>
    </row>
    <row r="468" spans="1:12" ht="30" customHeight="1" x14ac:dyDescent="0.2">
      <c r="A468" s="27" t="s">
        <v>2897</v>
      </c>
      <c r="B468" s="27" t="s">
        <v>2270</v>
      </c>
      <c r="C468" s="27"/>
      <c r="D468" s="31">
        <f t="shared" si="135"/>
        <v>19.445999999999998</v>
      </c>
      <c r="E468" s="52">
        <f t="shared" si="129"/>
        <v>87326.333333333328</v>
      </c>
      <c r="F468" s="31"/>
      <c r="G468" s="31">
        <v>1.22</v>
      </c>
      <c r="H468" s="31">
        <v>1.25</v>
      </c>
      <c r="I468" s="31">
        <v>1.3</v>
      </c>
      <c r="J468" s="31"/>
      <c r="K468" s="52">
        <f t="shared" si="70"/>
        <v>173124.45583333334</v>
      </c>
      <c r="L468" s="52">
        <f t="shared" si="131"/>
        <v>2596866.8375000004</v>
      </c>
    </row>
    <row r="469" spans="1:12" ht="30" customHeight="1" x14ac:dyDescent="0.2">
      <c r="A469" s="27" t="s">
        <v>2898</v>
      </c>
      <c r="B469" s="27" t="s">
        <v>2899</v>
      </c>
      <c r="C469" s="27"/>
      <c r="D469" s="31">
        <f>D468+1.55</f>
        <v>20.995999999999999</v>
      </c>
      <c r="E469" s="52">
        <f t="shared" si="129"/>
        <v>87326.333333333328</v>
      </c>
      <c r="F469" s="31"/>
      <c r="G469" s="31">
        <v>1.22</v>
      </c>
      <c r="H469" s="31">
        <v>1.25</v>
      </c>
      <c r="I469" s="31">
        <v>1.3</v>
      </c>
      <c r="J469" s="31"/>
      <c r="K469" s="52">
        <f t="shared" si="70"/>
        <v>173124.45583333334</v>
      </c>
      <c r="L469" s="52">
        <f t="shared" si="131"/>
        <v>2769991.2933333339</v>
      </c>
    </row>
    <row r="470" spans="1:12" ht="30" customHeight="1" x14ac:dyDescent="0.2">
      <c r="A470" s="27" t="s">
        <v>2900</v>
      </c>
      <c r="B470" s="27" t="s">
        <v>2274</v>
      </c>
      <c r="C470" s="27"/>
      <c r="D470" s="31">
        <f t="shared" ref="D470:D471" si="136">D469+1.183</f>
        <v>22.178999999999998</v>
      </c>
      <c r="E470" s="52">
        <f t="shared" si="129"/>
        <v>87326.333333333328</v>
      </c>
      <c r="F470" s="31"/>
      <c r="G470" s="31">
        <v>1.22</v>
      </c>
      <c r="H470" s="31">
        <v>1.25</v>
      </c>
      <c r="I470" s="31">
        <v>1.3</v>
      </c>
      <c r="J470" s="31"/>
      <c r="K470" s="52">
        <f t="shared" si="70"/>
        <v>173124.45583333334</v>
      </c>
      <c r="L470" s="52">
        <f t="shared" si="131"/>
        <v>2943115.7491666675</v>
      </c>
    </row>
    <row r="471" spans="1:12" ht="30" customHeight="1" x14ac:dyDescent="0.2">
      <c r="A471" s="27" t="s">
        <v>2901</v>
      </c>
      <c r="B471" s="27" t="s">
        <v>2276</v>
      </c>
      <c r="C471" s="27"/>
      <c r="D471" s="31">
        <f t="shared" si="136"/>
        <v>23.361999999999998</v>
      </c>
      <c r="E471" s="52">
        <f t="shared" si="129"/>
        <v>87326.333333333328</v>
      </c>
      <c r="F471" s="31"/>
      <c r="G471" s="31">
        <v>1.22</v>
      </c>
      <c r="H471" s="31">
        <v>1.25</v>
      </c>
      <c r="I471" s="31">
        <v>1.3</v>
      </c>
      <c r="J471" s="31"/>
      <c r="K471" s="52">
        <f t="shared" si="70"/>
        <v>173124.45583333334</v>
      </c>
      <c r="L471" s="52">
        <f t="shared" si="131"/>
        <v>3116240.205000001</v>
      </c>
    </row>
    <row r="472" spans="1:12" ht="30" customHeight="1" x14ac:dyDescent="0.2">
      <c r="A472" s="27" t="s">
        <v>2902</v>
      </c>
      <c r="B472" s="27" t="s">
        <v>2903</v>
      </c>
      <c r="C472" s="27"/>
      <c r="D472" s="31">
        <f>D471+1.55</f>
        <v>24.911999999999999</v>
      </c>
      <c r="E472" s="52">
        <f t="shared" si="129"/>
        <v>87326.333333333328</v>
      </c>
      <c r="F472" s="31"/>
      <c r="G472" s="31">
        <v>1.22</v>
      </c>
      <c r="H472" s="31">
        <v>1.25</v>
      </c>
      <c r="I472" s="31">
        <v>1.3</v>
      </c>
      <c r="J472" s="31"/>
      <c r="K472" s="52">
        <f t="shared" si="70"/>
        <v>173124.45583333334</v>
      </c>
      <c r="L472" s="52">
        <f t="shared" si="131"/>
        <v>3289364.6608333346</v>
      </c>
    </row>
    <row r="473" spans="1:12" ht="30" customHeight="1" x14ac:dyDescent="0.2">
      <c r="A473" s="27" t="s">
        <v>2904</v>
      </c>
      <c r="B473" s="27" t="s">
        <v>2242</v>
      </c>
      <c r="C473" s="27"/>
      <c r="D473" s="31">
        <v>1.583</v>
      </c>
      <c r="E473" s="52">
        <v>83445</v>
      </c>
      <c r="F473" s="31"/>
      <c r="G473" s="31">
        <v>1.22</v>
      </c>
      <c r="H473" s="31">
        <v>1.25</v>
      </c>
      <c r="I473" s="31">
        <v>1.3</v>
      </c>
      <c r="J473" s="31"/>
      <c r="K473" s="52">
        <f t="shared" si="70"/>
        <v>165429.71249999999</v>
      </c>
      <c r="L473" s="52">
        <f>K473</f>
        <v>165429.71249999999</v>
      </c>
    </row>
    <row r="474" spans="1:12" ht="30" customHeight="1" x14ac:dyDescent="0.2">
      <c r="A474" s="27" t="s">
        <v>2905</v>
      </c>
      <c r="B474" s="27" t="s">
        <v>2244</v>
      </c>
      <c r="C474" s="27"/>
      <c r="D474" s="31">
        <f t="shared" ref="D474:D487" si="137">D473+1.3</f>
        <v>2.883</v>
      </c>
      <c r="E474" s="52">
        <v>83445</v>
      </c>
      <c r="F474" s="31"/>
      <c r="G474" s="31">
        <v>1.22</v>
      </c>
      <c r="H474" s="31">
        <v>1.25</v>
      </c>
      <c r="I474" s="31">
        <v>1.3</v>
      </c>
      <c r="J474" s="31"/>
      <c r="K474" s="52">
        <f t="shared" si="70"/>
        <v>165429.71249999999</v>
      </c>
      <c r="L474" s="52">
        <f t="shared" ref="L474:L487" si="138">K474+L473</f>
        <v>330859.42499999999</v>
      </c>
    </row>
    <row r="475" spans="1:12" ht="30" customHeight="1" x14ac:dyDescent="0.2">
      <c r="A475" s="27" t="s">
        <v>2906</v>
      </c>
      <c r="B475" s="27" t="s">
        <v>2246</v>
      </c>
      <c r="C475" s="27"/>
      <c r="D475" s="31">
        <f t="shared" si="137"/>
        <v>4.1829999999999998</v>
      </c>
      <c r="E475" s="52">
        <v>83445</v>
      </c>
      <c r="F475" s="31"/>
      <c r="G475" s="31">
        <v>1.22</v>
      </c>
      <c r="H475" s="31">
        <v>1.25</v>
      </c>
      <c r="I475" s="31">
        <v>1.3</v>
      </c>
      <c r="J475" s="31"/>
      <c r="K475" s="52">
        <f t="shared" si="70"/>
        <v>165429.71249999999</v>
      </c>
      <c r="L475" s="52">
        <f t="shared" si="138"/>
        <v>496289.13749999995</v>
      </c>
    </row>
    <row r="476" spans="1:12" ht="30" customHeight="1" x14ac:dyDescent="0.2">
      <c r="A476" s="27" t="s">
        <v>2907</v>
      </c>
      <c r="B476" s="27" t="s">
        <v>2248</v>
      </c>
      <c r="C476" s="27"/>
      <c r="D476" s="31">
        <f t="shared" si="137"/>
        <v>5.4829999999999997</v>
      </c>
      <c r="E476" s="52">
        <v>83445</v>
      </c>
      <c r="F476" s="31"/>
      <c r="G476" s="31">
        <v>1.22</v>
      </c>
      <c r="H476" s="31">
        <v>1.25</v>
      </c>
      <c r="I476" s="31">
        <v>1.3</v>
      </c>
      <c r="J476" s="31"/>
      <c r="K476" s="52">
        <f t="shared" ref="K476:K730" si="139">PRODUCT(E476:J476)</f>
        <v>165429.71249999999</v>
      </c>
      <c r="L476" s="52">
        <f t="shared" si="138"/>
        <v>661718.85</v>
      </c>
    </row>
    <row r="477" spans="1:12" ht="30" customHeight="1" x14ac:dyDescent="0.2">
      <c r="A477" s="27" t="s">
        <v>2908</v>
      </c>
      <c r="B477" s="27" t="s">
        <v>2250</v>
      </c>
      <c r="C477" s="27"/>
      <c r="D477" s="31">
        <f t="shared" si="137"/>
        <v>6.7829999999999995</v>
      </c>
      <c r="E477" s="52">
        <v>83445</v>
      </c>
      <c r="F477" s="31"/>
      <c r="G477" s="31">
        <v>1.22</v>
      </c>
      <c r="H477" s="31">
        <v>1.25</v>
      </c>
      <c r="I477" s="31">
        <v>1.3</v>
      </c>
      <c r="J477" s="31"/>
      <c r="K477" s="52">
        <f t="shared" si="139"/>
        <v>165429.71249999999</v>
      </c>
      <c r="L477" s="52">
        <f t="shared" si="138"/>
        <v>827148.5625</v>
      </c>
    </row>
    <row r="478" spans="1:12" ht="30" customHeight="1" x14ac:dyDescent="0.2">
      <c r="A478" s="27" t="s">
        <v>2909</v>
      </c>
      <c r="B478" s="27" t="s">
        <v>2291</v>
      </c>
      <c r="C478" s="27"/>
      <c r="D478" s="31">
        <f t="shared" si="137"/>
        <v>8.0830000000000002</v>
      </c>
      <c r="E478" s="52">
        <v>83445</v>
      </c>
      <c r="F478" s="31"/>
      <c r="G478" s="31">
        <v>1.22</v>
      </c>
      <c r="H478" s="31">
        <v>1.25</v>
      </c>
      <c r="I478" s="31">
        <v>1.3</v>
      </c>
      <c r="J478" s="31"/>
      <c r="K478" s="52">
        <f t="shared" si="139"/>
        <v>165429.71249999999</v>
      </c>
      <c r="L478" s="52">
        <f t="shared" si="138"/>
        <v>992578.27500000002</v>
      </c>
    </row>
    <row r="479" spans="1:12" ht="30" customHeight="1" x14ac:dyDescent="0.2">
      <c r="A479" s="27" t="s">
        <v>2910</v>
      </c>
      <c r="B479" s="27" t="s">
        <v>2254</v>
      </c>
      <c r="C479" s="27"/>
      <c r="D479" s="31">
        <f t="shared" si="137"/>
        <v>9.3830000000000009</v>
      </c>
      <c r="E479" s="52">
        <v>83445</v>
      </c>
      <c r="F479" s="31"/>
      <c r="G479" s="31">
        <v>1.22</v>
      </c>
      <c r="H479" s="31">
        <v>1.25</v>
      </c>
      <c r="I479" s="31">
        <v>1.3</v>
      </c>
      <c r="J479" s="31"/>
      <c r="K479" s="52">
        <f t="shared" si="139"/>
        <v>165429.71249999999</v>
      </c>
      <c r="L479" s="52">
        <f t="shared" si="138"/>
        <v>1158007.9875</v>
      </c>
    </row>
    <row r="480" spans="1:12" ht="30" customHeight="1" x14ac:dyDescent="0.2">
      <c r="A480" s="27" t="s">
        <v>2911</v>
      </c>
      <c r="B480" s="27" t="s">
        <v>2256</v>
      </c>
      <c r="C480" s="27"/>
      <c r="D480" s="31">
        <f t="shared" si="137"/>
        <v>10.683000000000002</v>
      </c>
      <c r="E480" s="52">
        <v>83445</v>
      </c>
      <c r="F480" s="31"/>
      <c r="G480" s="31">
        <v>1.22</v>
      </c>
      <c r="H480" s="31">
        <v>1.25</v>
      </c>
      <c r="I480" s="31">
        <v>1.3</v>
      </c>
      <c r="J480" s="31"/>
      <c r="K480" s="52">
        <f t="shared" si="139"/>
        <v>165429.71249999999</v>
      </c>
      <c r="L480" s="52">
        <f t="shared" si="138"/>
        <v>1323437.7</v>
      </c>
    </row>
    <row r="481" spans="1:12" ht="30" customHeight="1" x14ac:dyDescent="0.2">
      <c r="A481" s="27" t="s">
        <v>2912</v>
      </c>
      <c r="B481" s="27" t="s">
        <v>2258</v>
      </c>
      <c r="C481" s="27"/>
      <c r="D481" s="31">
        <f t="shared" si="137"/>
        <v>11.983000000000002</v>
      </c>
      <c r="E481" s="52">
        <v>83445</v>
      </c>
      <c r="F481" s="31"/>
      <c r="G481" s="31">
        <v>1.22</v>
      </c>
      <c r="H481" s="31">
        <v>1.25</v>
      </c>
      <c r="I481" s="31">
        <v>1.3</v>
      </c>
      <c r="J481" s="31"/>
      <c r="K481" s="52">
        <f t="shared" si="139"/>
        <v>165429.71249999999</v>
      </c>
      <c r="L481" s="52">
        <f t="shared" si="138"/>
        <v>1488867.4124999999</v>
      </c>
    </row>
    <row r="482" spans="1:12" ht="30" customHeight="1" x14ac:dyDescent="0.2">
      <c r="A482" s="27" t="s">
        <v>2913</v>
      </c>
      <c r="B482" s="27" t="s">
        <v>2260</v>
      </c>
      <c r="C482" s="27"/>
      <c r="D482" s="31">
        <f t="shared" si="137"/>
        <v>13.283000000000003</v>
      </c>
      <c r="E482" s="52">
        <v>83445</v>
      </c>
      <c r="F482" s="31"/>
      <c r="G482" s="31">
        <v>1.22</v>
      </c>
      <c r="H482" s="31">
        <v>1.25</v>
      </c>
      <c r="I482" s="31">
        <v>1.3</v>
      </c>
      <c r="J482" s="31"/>
      <c r="K482" s="52">
        <f t="shared" si="139"/>
        <v>165429.71249999999</v>
      </c>
      <c r="L482" s="52">
        <f t="shared" si="138"/>
        <v>1654297.1249999998</v>
      </c>
    </row>
    <row r="483" spans="1:12" ht="30" customHeight="1" x14ac:dyDescent="0.2">
      <c r="A483" s="27" t="s">
        <v>2914</v>
      </c>
      <c r="B483" s="27" t="s">
        <v>2297</v>
      </c>
      <c r="C483" s="27"/>
      <c r="D483" s="31">
        <f t="shared" si="137"/>
        <v>14.583000000000004</v>
      </c>
      <c r="E483" s="52">
        <v>83445</v>
      </c>
      <c r="F483" s="31"/>
      <c r="G483" s="31">
        <v>1.22</v>
      </c>
      <c r="H483" s="31">
        <v>1.25</v>
      </c>
      <c r="I483" s="31">
        <v>1.3</v>
      </c>
      <c r="J483" s="31"/>
      <c r="K483" s="52">
        <f t="shared" si="139"/>
        <v>165429.71249999999</v>
      </c>
      <c r="L483" s="52">
        <f t="shared" si="138"/>
        <v>1819726.8374999997</v>
      </c>
    </row>
    <row r="484" spans="1:12" ht="30" customHeight="1" x14ac:dyDescent="0.2">
      <c r="A484" s="27" t="s">
        <v>2915</v>
      </c>
      <c r="B484" s="27" t="s">
        <v>2264</v>
      </c>
      <c r="C484" s="27"/>
      <c r="D484" s="31">
        <f t="shared" si="137"/>
        <v>15.883000000000004</v>
      </c>
      <c r="E484" s="52">
        <v>83445</v>
      </c>
      <c r="F484" s="31"/>
      <c r="G484" s="31">
        <v>1.22</v>
      </c>
      <c r="H484" s="31">
        <v>1.25</v>
      </c>
      <c r="I484" s="31">
        <v>1.3</v>
      </c>
      <c r="J484" s="31"/>
      <c r="K484" s="52">
        <f t="shared" si="139"/>
        <v>165429.71249999999</v>
      </c>
      <c r="L484" s="52">
        <f t="shared" si="138"/>
        <v>1985156.5499999996</v>
      </c>
    </row>
    <row r="485" spans="1:12" ht="30" customHeight="1" x14ac:dyDescent="0.2">
      <c r="A485" s="27" t="s">
        <v>2916</v>
      </c>
      <c r="B485" s="27" t="s">
        <v>2266</v>
      </c>
      <c r="C485" s="27"/>
      <c r="D485" s="31">
        <f t="shared" si="137"/>
        <v>17.183000000000003</v>
      </c>
      <c r="E485" s="52">
        <v>83445</v>
      </c>
      <c r="F485" s="31"/>
      <c r="G485" s="31">
        <v>1.22</v>
      </c>
      <c r="H485" s="31">
        <v>1.25</v>
      </c>
      <c r="I485" s="31">
        <v>1.3</v>
      </c>
      <c r="J485" s="31"/>
      <c r="K485" s="52">
        <f t="shared" si="139"/>
        <v>165429.71249999999</v>
      </c>
      <c r="L485" s="52">
        <f t="shared" si="138"/>
        <v>2150586.2624999997</v>
      </c>
    </row>
    <row r="486" spans="1:12" ht="30" customHeight="1" x14ac:dyDescent="0.2">
      <c r="A486" s="27" t="s">
        <v>2917</v>
      </c>
      <c r="B486" s="27" t="s">
        <v>2268</v>
      </c>
      <c r="C486" s="27"/>
      <c r="D486" s="31">
        <f t="shared" si="137"/>
        <v>18.483000000000004</v>
      </c>
      <c r="E486" s="52">
        <v>83445</v>
      </c>
      <c r="F486" s="31"/>
      <c r="G486" s="31">
        <v>1.22</v>
      </c>
      <c r="H486" s="31">
        <v>1.25</v>
      </c>
      <c r="I486" s="31">
        <v>1.3</v>
      </c>
      <c r="J486" s="31"/>
      <c r="K486" s="52">
        <f t="shared" si="139"/>
        <v>165429.71249999999</v>
      </c>
      <c r="L486" s="52">
        <f t="shared" si="138"/>
        <v>2316015.9749999996</v>
      </c>
    </row>
    <row r="487" spans="1:12" ht="30" customHeight="1" x14ac:dyDescent="0.2">
      <c r="A487" s="27" t="s">
        <v>2918</v>
      </c>
      <c r="B487" s="27" t="s">
        <v>2270</v>
      </c>
      <c r="C487" s="27"/>
      <c r="D487" s="31">
        <f t="shared" si="137"/>
        <v>19.783000000000005</v>
      </c>
      <c r="E487" s="52">
        <v>83445</v>
      </c>
      <c r="F487" s="31"/>
      <c r="G487" s="31">
        <v>1.22</v>
      </c>
      <c r="H487" s="31">
        <v>1.25</v>
      </c>
      <c r="I487" s="31">
        <v>1.3</v>
      </c>
      <c r="J487" s="31"/>
      <c r="K487" s="52">
        <f t="shared" si="139"/>
        <v>165429.71249999999</v>
      </c>
      <c r="L487" s="52">
        <f t="shared" si="138"/>
        <v>2481445.6874999995</v>
      </c>
    </row>
    <row r="488" spans="1:12" ht="30" customHeight="1" x14ac:dyDescent="0.2">
      <c r="A488" s="27" t="s">
        <v>2919</v>
      </c>
      <c r="B488" s="27" t="s">
        <v>2426</v>
      </c>
      <c r="C488" s="27"/>
      <c r="D488" s="31">
        <v>0.58299999999999996</v>
      </c>
      <c r="E488" s="52">
        <f t="shared" ref="E488:E506" si="140">22365+22365*1.15</f>
        <v>48084.75</v>
      </c>
      <c r="F488" s="31">
        <f t="shared" ref="F488:F506" si="141">(24777*1.4+24777*1.15*1.15)/E488</f>
        <v>1.4028435730663047</v>
      </c>
      <c r="G488" s="31">
        <f t="shared" ref="G488:G506" si="142">(24777*1.4*1.17+24777*1.15*1.15*1.1)/E488/F488</f>
        <v>1.1359963269054179</v>
      </c>
      <c r="H488" s="31">
        <v>1.25</v>
      </c>
      <c r="I488" s="31">
        <v>1.3</v>
      </c>
      <c r="J488" s="31">
        <v>1.0780000000000001</v>
      </c>
      <c r="K488" s="52">
        <f t="shared" si="139"/>
        <v>134234.96767931251</v>
      </c>
      <c r="L488" s="52">
        <f>K488</f>
        <v>134234.96767931251</v>
      </c>
    </row>
    <row r="489" spans="1:12" ht="30" customHeight="1" x14ac:dyDescent="0.2">
      <c r="A489" s="27" t="s">
        <v>2920</v>
      </c>
      <c r="B489" s="27" t="s">
        <v>2428</v>
      </c>
      <c r="C489" s="27"/>
      <c r="D489" s="31">
        <f t="shared" ref="D489:D494" si="143">D488+1.083</f>
        <v>1.6659999999999999</v>
      </c>
      <c r="E489" s="52">
        <f t="shared" si="140"/>
        <v>48084.75</v>
      </c>
      <c r="F489" s="31">
        <f t="shared" si="141"/>
        <v>1.4028435730663047</v>
      </c>
      <c r="G489" s="31">
        <f t="shared" si="142"/>
        <v>1.1359963269054179</v>
      </c>
      <c r="H489" s="31">
        <v>1.25</v>
      </c>
      <c r="I489" s="31">
        <v>1.3</v>
      </c>
      <c r="J489" s="31">
        <v>1.0780000000000001</v>
      </c>
      <c r="K489" s="52">
        <f t="shared" si="139"/>
        <v>134234.96767931251</v>
      </c>
      <c r="L489" s="52">
        <f t="shared" ref="L489:L506" si="144">K489+L488</f>
        <v>268469.93535862502</v>
      </c>
    </row>
    <row r="490" spans="1:12" ht="30" customHeight="1" x14ac:dyDescent="0.2">
      <c r="A490" s="27" t="s">
        <v>2921</v>
      </c>
      <c r="B490" s="27" t="s">
        <v>2430</v>
      </c>
      <c r="C490" s="27"/>
      <c r="D490" s="31">
        <f t="shared" si="143"/>
        <v>2.7489999999999997</v>
      </c>
      <c r="E490" s="52">
        <f t="shared" si="140"/>
        <v>48084.75</v>
      </c>
      <c r="F490" s="31">
        <f t="shared" si="141"/>
        <v>1.4028435730663047</v>
      </c>
      <c r="G490" s="31">
        <f t="shared" si="142"/>
        <v>1.1359963269054179</v>
      </c>
      <c r="H490" s="31">
        <v>1.25</v>
      </c>
      <c r="I490" s="31">
        <v>1.3</v>
      </c>
      <c r="J490" s="31">
        <v>1.0780000000000001</v>
      </c>
      <c r="K490" s="52">
        <f t="shared" si="139"/>
        <v>134234.96767931251</v>
      </c>
      <c r="L490" s="52">
        <f t="shared" si="144"/>
        <v>402704.90303793753</v>
      </c>
    </row>
    <row r="491" spans="1:12" ht="30" customHeight="1" x14ac:dyDescent="0.2">
      <c r="A491" s="27" t="s">
        <v>2922</v>
      </c>
      <c r="B491" s="27" t="s">
        <v>2432</v>
      </c>
      <c r="C491" s="27"/>
      <c r="D491" s="31">
        <f t="shared" si="143"/>
        <v>3.8319999999999999</v>
      </c>
      <c r="E491" s="52">
        <f t="shared" si="140"/>
        <v>48084.75</v>
      </c>
      <c r="F491" s="31">
        <f t="shared" si="141"/>
        <v>1.4028435730663047</v>
      </c>
      <c r="G491" s="31">
        <f t="shared" si="142"/>
        <v>1.1359963269054179</v>
      </c>
      <c r="H491" s="31">
        <v>1.25</v>
      </c>
      <c r="I491" s="31">
        <v>1.3</v>
      </c>
      <c r="J491" s="31">
        <v>1.0780000000000001</v>
      </c>
      <c r="K491" s="52">
        <f t="shared" si="139"/>
        <v>134234.96767931251</v>
      </c>
      <c r="L491" s="52">
        <f t="shared" si="144"/>
        <v>536939.87071725004</v>
      </c>
    </row>
    <row r="492" spans="1:12" ht="30" customHeight="1" x14ac:dyDescent="0.2">
      <c r="A492" s="27" t="s">
        <v>2923</v>
      </c>
      <c r="B492" s="27" t="s">
        <v>2924</v>
      </c>
      <c r="C492" s="27"/>
      <c r="D492" s="31">
        <f t="shared" si="143"/>
        <v>4.915</v>
      </c>
      <c r="E492" s="52">
        <f t="shared" si="140"/>
        <v>48084.75</v>
      </c>
      <c r="F492" s="31">
        <f t="shared" si="141"/>
        <v>1.4028435730663047</v>
      </c>
      <c r="G492" s="31">
        <f t="shared" si="142"/>
        <v>1.1359963269054179</v>
      </c>
      <c r="H492" s="31">
        <v>1.25</v>
      </c>
      <c r="I492" s="31">
        <v>1.3</v>
      </c>
      <c r="J492" s="31">
        <v>1.0780000000000001</v>
      </c>
      <c r="K492" s="52">
        <f t="shared" si="139"/>
        <v>134234.96767931251</v>
      </c>
      <c r="L492" s="52">
        <f t="shared" si="144"/>
        <v>671174.8383965625</v>
      </c>
    </row>
    <row r="493" spans="1:12" ht="30" customHeight="1" x14ac:dyDescent="0.2">
      <c r="A493" s="27" t="s">
        <v>2925</v>
      </c>
      <c r="B493" s="27" t="s">
        <v>2436</v>
      </c>
      <c r="C493" s="27"/>
      <c r="D493" s="31">
        <f t="shared" si="143"/>
        <v>5.9980000000000002</v>
      </c>
      <c r="E493" s="52">
        <f t="shared" si="140"/>
        <v>48084.75</v>
      </c>
      <c r="F493" s="31">
        <f t="shared" si="141"/>
        <v>1.4028435730663047</v>
      </c>
      <c r="G493" s="31">
        <f t="shared" si="142"/>
        <v>1.1359963269054179</v>
      </c>
      <c r="H493" s="31">
        <v>1.25</v>
      </c>
      <c r="I493" s="31">
        <v>1.3</v>
      </c>
      <c r="J493" s="31">
        <v>1.0780000000000001</v>
      </c>
      <c r="K493" s="52">
        <f t="shared" si="139"/>
        <v>134234.96767931251</v>
      </c>
      <c r="L493" s="52">
        <f t="shared" si="144"/>
        <v>805409.80607587495</v>
      </c>
    </row>
    <row r="494" spans="1:12" ht="30" customHeight="1" x14ac:dyDescent="0.2">
      <c r="A494" s="27" t="s">
        <v>2926</v>
      </c>
      <c r="B494" s="27" t="s">
        <v>2438</v>
      </c>
      <c r="C494" s="27"/>
      <c r="D494" s="31">
        <f t="shared" si="143"/>
        <v>7.0810000000000004</v>
      </c>
      <c r="E494" s="52">
        <f t="shared" si="140"/>
        <v>48084.75</v>
      </c>
      <c r="F494" s="31">
        <f t="shared" si="141"/>
        <v>1.4028435730663047</v>
      </c>
      <c r="G494" s="31">
        <f t="shared" si="142"/>
        <v>1.1359963269054179</v>
      </c>
      <c r="H494" s="31">
        <v>1.25</v>
      </c>
      <c r="I494" s="31">
        <v>1.3</v>
      </c>
      <c r="J494" s="31">
        <v>1.0780000000000001</v>
      </c>
      <c r="K494" s="52">
        <f t="shared" si="139"/>
        <v>134234.96767931251</v>
      </c>
      <c r="L494" s="52">
        <f t="shared" si="144"/>
        <v>939644.7737551874</v>
      </c>
    </row>
    <row r="495" spans="1:12" ht="30" customHeight="1" x14ac:dyDescent="0.2">
      <c r="A495" s="27" t="s">
        <v>2927</v>
      </c>
      <c r="B495" s="27" t="s">
        <v>2928</v>
      </c>
      <c r="C495" s="27"/>
      <c r="D495" s="31">
        <f>D494+1.5</f>
        <v>8.5809999999999995</v>
      </c>
      <c r="E495" s="52">
        <f t="shared" si="140"/>
        <v>48084.75</v>
      </c>
      <c r="F495" s="31">
        <f t="shared" si="141"/>
        <v>1.4028435730663047</v>
      </c>
      <c r="G495" s="31">
        <f t="shared" si="142"/>
        <v>1.1359963269054179</v>
      </c>
      <c r="H495" s="31">
        <v>1.25</v>
      </c>
      <c r="I495" s="31">
        <v>1.3</v>
      </c>
      <c r="J495" s="31">
        <v>1.0780000000000001</v>
      </c>
      <c r="K495" s="52">
        <f t="shared" si="139"/>
        <v>134234.96767931251</v>
      </c>
      <c r="L495" s="52">
        <f t="shared" si="144"/>
        <v>1073879.7414344999</v>
      </c>
    </row>
    <row r="496" spans="1:12" ht="30" customHeight="1" x14ac:dyDescent="0.2">
      <c r="A496" s="27" t="s">
        <v>2929</v>
      </c>
      <c r="B496" s="27" t="s">
        <v>2930</v>
      </c>
      <c r="C496" s="27"/>
      <c r="D496" s="31">
        <f t="shared" ref="D496:D501" si="145">D495+1.083</f>
        <v>9.6639999999999997</v>
      </c>
      <c r="E496" s="52">
        <f t="shared" si="140"/>
        <v>48084.75</v>
      </c>
      <c r="F496" s="31">
        <f t="shared" si="141"/>
        <v>1.4028435730663047</v>
      </c>
      <c r="G496" s="31">
        <f t="shared" si="142"/>
        <v>1.1359963269054179</v>
      </c>
      <c r="H496" s="31">
        <v>1.25</v>
      </c>
      <c r="I496" s="31">
        <v>1.3</v>
      </c>
      <c r="J496" s="31">
        <v>1.0780000000000001</v>
      </c>
      <c r="K496" s="52">
        <f t="shared" si="139"/>
        <v>134234.96767931251</v>
      </c>
      <c r="L496" s="52">
        <f t="shared" si="144"/>
        <v>1208114.7091138123</v>
      </c>
    </row>
    <row r="497" spans="1:12" ht="30" customHeight="1" x14ac:dyDescent="0.2">
      <c r="A497" s="27" t="s">
        <v>2931</v>
      </c>
      <c r="B497" s="27" t="s">
        <v>2444</v>
      </c>
      <c r="C497" s="27"/>
      <c r="D497" s="31">
        <f t="shared" si="145"/>
        <v>10.747</v>
      </c>
      <c r="E497" s="52">
        <f t="shared" si="140"/>
        <v>48084.75</v>
      </c>
      <c r="F497" s="31">
        <f t="shared" si="141"/>
        <v>1.4028435730663047</v>
      </c>
      <c r="G497" s="31">
        <f t="shared" si="142"/>
        <v>1.1359963269054179</v>
      </c>
      <c r="H497" s="31">
        <v>1.25</v>
      </c>
      <c r="I497" s="31">
        <v>1.3</v>
      </c>
      <c r="J497" s="31">
        <v>1.0780000000000001</v>
      </c>
      <c r="K497" s="52">
        <f t="shared" si="139"/>
        <v>134234.96767931251</v>
      </c>
      <c r="L497" s="52">
        <f t="shared" si="144"/>
        <v>1342349.6767931248</v>
      </c>
    </row>
    <row r="498" spans="1:12" ht="30" customHeight="1" x14ac:dyDescent="0.2">
      <c r="A498" s="27" t="s">
        <v>2932</v>
      </c>
      <c r="B498" s="27" t="s">
        <v>2446</v>
      </c>
      <c r="C498" s="27"/>
      <c r="D498" s="31">
        <f t="shared" si="145"/>
        <v>11.83</v>
      </c>
      <c r="E498" s="52">
        <f t="shared" si="140"/>
        <v>48084.75</v>
      </c>
      <c r="F498" s="31">
        <f t="shared" si="141"/>
        <v>1.4028435730663047</v>
      </c>
      <c r="G498" s="31">
        <f t="shared" si="142"/>
        <v>1.1359963269054179</v>
      </c>
      <c r="H498" s="31">
        <v>1.25</v>
      </c>
      <c r="I498" s="31">
        <v>1.3</v>
      </c>
      <c r="J498" s="31">
        <v>1.0780000000000001</v>
      </c>
      <c r="K498" s="52">
        <f t="shared" si="139"/>
        <v>134234.96767931251</v>
      </c>
      <c r="L498" s="52">
        <f t="shared" si="144"/>
        <v>1476584.6444724372</v>
      </c>
    </row>
    <row r="499" spans="1:12" ht="30" customHeight="1" x14ac:dyDescent="0.2">
      <c r="A499" s="27" t="s">
        <v>2933</v>
      </c>
      <c r="B499" s="27" t="s">
        <v>2448</v>
      </c>
      <c r="C499" s="27"/>
      <c r="D499" s="31">
        <f t="shared" si="145"/>
        <v>12.913</v>
      </c>
      <c r="E499" s="52">
        <f t="shared" si="140"/>
        <v>48084.75</v>
      </c>
      <c r="F499" s="31">
        <f t="shared" si="141"/>
        <v>1.4028435730663047</v>
      </c>
      <c r="G499" s="31">
        <f t="shared" si="142"/>
        <v>1.1359963269054179</v>
      </c>
      <c r="H499" s="31">
        <v>1.25</v>
      </c>
      <c r="I499" s="31">
        <v>1.3</v>
      </c>
      <c r="J499" s="31">
        <v>1.0780000000000001</v>
      </c>
      <c r="K499" s="52">
        <f t="shared" si="139"/>
        <v>134234.96767931251</v>
      </c>
      <c r="L499" s="52">
        <f t="shared" si="144"/>
        <v>1610819.6121517497</v>
      </c>
    </row>
    <row r="500" spans="1:12" ht="30" customHeight="1" x14ac:dyDescent="0.2">
      <c r="A500" s="27" t="s">
        <v>2934</v>
      </c>
      <c r="B500" s="27" t="s">
        <v>2935</v>
      </c>
      <c r="C500" s="27"/>
      <c r="D500" s="31">
        <f t="shared" si="145"/>
        <v>13.996</v>
      </c>
      <c r="E500" s="52">
        <f t="shared" si="140"/>
        <v>48084.75</v>
      </c>
      <c r="F500" s="31">
        <f t="shared" si="141"/>
        <v>1.4028435730663047</v>
      </c>
      <c r="G500" s="31">
        <f t="shared" si="142"/>
        <v>1.1359963269054179</v>
      </c>
      <c r="H500" s="31">
        <v>1.25</v>
      </c>
      <c r="I500" s="31">
        <v>1.3</v>
      </c>
      <c r="J500" s="31">
        <v>1.0780000000000001</v>
      </c>
      <c r="K500" s="52">
        <f t="shared" si="139"/>
        <v>134234.96767931251</v>
      </c>
      <c r="L500" s="52">
        <f t="shared" si="144"/>
        <v>1745054.5798310621</v>
      </c>
    </row>
    <row r="501" spans="1:12" ht="30" customHeight="1" x14ac:dyDescent="0.2">
      <c r="A501" s="27" t="s">
        <v>2936</v>
      </c>
      <c r="B501" s="27" t="s">
        <v>2452</v>
      </c>
      <c r="C501" s="27"/>
      <c r="D501" s="31">
        <f t="shared" si="145"/>
        <v>15.079000000000001</v>
      </c>
      <c r="E501" s="52">
        <f t="shared" si="140"/>
        <v>48084.75</v>
      </c>
      <c r="F501" s="31">
        <f t="shared" si="141"/>
        <v>1.4028435730663047</v>
      </c>
      <c r="G501" s="31">
        <f t="shared" si="142"/>
        <v>1.1359963269054179</v>
      </c>
      <c r="H501" s="31">
        <v>1.25</v>
      </c>
      <c r="I501" s="31">
        <v>1.3</v>
      </c>
      <c r="J501" s="31">
        <v>1.0780000000000001</v>
      </c>
      <c r="K501" s="52">
        <f t="shared" si="139"/>
        <v>134234.96767931251</v>
      </c>
      <c r="L501" s="52">
        <f t="shared" si="144"/>
        <v>1879289.5475103746</v>
      </c>
    </row>
    <row r="502" spans="1:12" ht="30" customHeight="1" x14ac:dyDescent="0.2">
      <c r="A502" s="27" t="s">
        <v>2937</v>
      </c>
      <c r="B502" s="27" t="s">
        <v>2938</v>
      </c>
      <c r="C502" s="27"/>
      <c r="D502" s="31">
        <f>D501+1.5</f>
        <v>16.579000000000001</v>
      </c>
      <c r="E502" s="52">
        <f t="shared" si="140"/>
        <v>48084.75</v>
      </c>
      <c r="F502" s="31">
        <f t="shared" si="141"/>
        <v>1.4028435730663047</v>
      </c>
      <c r="G502" s="31">
        <f t="shared" si="142"/>
        <v>1.1359963269054179</v>
      </c>
      <c r="H502" s="31">
        <v>1.25</v>
      </c>
      <c r="I502" s="31">
        <v>1.3</v>
      </c>
      <c r="J502" s="31">
        <v>1.0780000000000001</v>
      </c>
      <c r="K502" s="52">
        <f t="shared" si="139"/>
        <v>134234.96767931251</v>
      </c>
      <c r="L502" s="52">
        <f t="shared" si="144"/>
        <v>2013524.515189687</v>
      </c>
    </row>
    <row r="503" spans="1:12" ht="30" customHeight="1" x14ac:dyDescent="0.2">
      <c r="A503" s="27" t="s">
        <v>2939</v>
      </c>
      <c r="B503" s="27" t="s">
        <v>2456</v>
      </c>
      <c r="C503" s="27"/>
      <c r="D503" s="31">
        <f t="shared" ref="D503:D506" si="146">D502+1.083</f>
        <v>17.661999999999999</v>
      </c>
      <c r="E503" s="52">
        <f t="shared" si="140"/>
        <v>48084.75</v>
      </c>
      <c r="F503" s="31">
        <f t="shared" si="141"/>
        <v>1.4028435730663047</v>
      </c>
      <c r="G503" s="31">
        <f t="shared" si="142"/>
        <v>1.1359963269054179</v>
      </c>
      <c r="H503" s="31">
        <v>1.25</v>
      </c>
      <c r="I503" s="31">
        <v>1.3</v>
      </c>
      <c r="J503" s="31">
        <v>1.0780000000000001</v>
      </c>
      <c r="K503" s="52">
        <f t="shared" si="139"/>
        <v>134234.96767931251</v>
      </c>
      <c r="L503" s="52">
        <f t="shared" si="144"/>
        <v>2147759.4828689997</v>
      </c>
    </row>
    <row r="504" spans="1:12" ht="30" customHeight="1" x14ac:dyDescent="0.2">
      <c r="A504" s="27" t="s">
        <v>2940</v>
      </c>
      <c r="B504" s="27" t="s">
        <v>2941</v>
      </c>
      <c r="C504" s="27"/>
      <c r="D504" s="31">
        <f t="shared" si="146"/>
        <v>18.744999999999997</v>
      </c>
      <c r="E504" s="52">
        <f t="shared" si="140"/>
        <v>48084.75</v>
      </c>
      <c r="F504" s="31">
        <f t="shared" si="141"/>
        <v>1.4028435730663047</v>
      </c>
      <c r="G504" s="31">
        <f t="shared" si="142"/>
        <v>1.1359963269054179</v>
      </c>
      <c r="H504" s="31">
        <v>1.25</v>
      </c>
      <c r="I504" s="31">
        <v>1.3</v>
      </c>
      <c r="J504" s="31">
        <v>1.0780000000000001</v>
      </c>
      <c r="K504" s="52">
        <f t="shared" si="139"/>
        <v>134234.96767931251</v>
      </c>
      <c r="L504" s="52">
        <f t="shared" si="144"/>
        <v>2281994.4505483122</v>
      </c>
    </row>
    <row r="505" spans="1:12" ht="30" customHeight="1" x14ac:dyDescent="0.2">
      <c r="A505" s="27" t="s">
        <v>2942</v>
      </c>
      <c r="B505" s="27" t="s">
        <v>2460</v>
      </c>
      <c r="C505" s="27"/>
      <c r="D505" s="31">
        <f t="shared" si="146"/>
        <v>19.827999999999996</v>
      </c>
      <c r="E505" s="52">
        <f t="shared" si="140"/>
        <v>48084.75</v>
      </c>
      <c r="F505" s="31">
        <f t="shared" si="141"/>
        <v>1.4028435730663047</v>
      </c>
      <c r="G505" s="31">
        <f t="shared" si="142"/>
        <v>1.1359963269054179</v>
      </c>
      <c r="H505" s="31">
        <v>1.25</v>
      </c>
      <c r="I505" s="31">
        <v>1.3</v>
      </c>
      <c r="J505" s="31">
        <v>1.0780000000000001</v>
      </c>
      <c r="K505" s="52">
        <f t="shared" si="139"/>
        <v>134234.96767931251</v>
      </c>
      <c r="L505" s="52">
        <f t="shared" si="144"/>
        <v>2416229.4182276246</v>
      </c>
    </row>
    <row r="506" spans="1:12" ht="30" customHeight="1" x14ac:dyDescent="0.2">
      <c r="A506" s="27" t="s">
        <v>2943</v>
      </c>
      <c r="B506" s="27" t="s">
        <v>2462</v>
      </c>
      <c r="C506" s="27"/>
      <c r="D506" s="31">
        <f t="shared" si="146"/>
        <v>20.910999999999994</v>
      </c>
      <c r="E506" s="52">
        <f t="shared" si="140"/>
        <v>48084.75</v>
      </c>
      <c r="F506" s="31">
        <f t="shared" si="141"/>
        <v>1.4028435730663047</v>
      </c>
      <c r="G506" s="31">
        <f t="shared" si="142"/>
        <v>1.1359963269054179</v>
      </c>
      <c r="H506" s="31">
        <v>1.25</v>
      </c>
      <c r="I506" s="31">
        <v>1.3</v>
      </c>
      <c r="J506" s="31">
        <v>1.0780000000000001</v>
      </c>
      <c r="K506" s="52">
        <f t="shared" si="139"/>
        <v>134234.96767931251</v>
      </c>
      <c r="L506" s="52">
        <f t="shared" si="144"/>
        <v>2550464.3859069371</v>
      </c>
    </row>
    <row r="507" spans="1:12" ht="30" customHeight="1" x14ac:dyDescent="0.2">
      <c r="A507" s="27" t="s">
        <v>2944</v>
      </c>
      <c r="B507" s="27" t="s">
        <v>2750</v>
      </c>
      <c r="C507" s="27"/>
      <c r="D507" s="31">
        <v>2.1</v>
      </c>
      <c r="E507" s="52">
        <v>132595</v>
      </c>
      <c r="F507" s="31"/>
      <c r="G507" s="31">
        <v>1.22</v>
      </c>
      <c r="H507" s="31">
        <v>1.25</v>
      </c>
      <c r="I507" s="31">
        <v>1.3</v>
      </c>
      <c r="J507" s="31"/>
      <c r="K507" s="52">
        <f t="shared" si="139"/>
        <v>262869.58750000002</v>
      </c>
      <c r="L507" s="52">
        <f>K507</f>
        <v>262869.58750000002</v>
      </c>
    </row>
    <row r="508" spans="1:12" ht="30" customHeight="1" x14ac:dyDescent="0.2">
      <c r="A508" s="27" t="s">
        <v>2945</v>
      </c>
      <c r="B508" s="27" t="s">
        <v>2946</v>
      </c>
      <c r="C508" s="27"/>
      <c r="D508" s="31">
        <f t="shared" ref="D508:D510" si="147">D507+3.15</f>
        <v>5.25</v>
      </c>
      <c r="E508" s="52">
        <v>132595</v>
      </c>
      <c r="F508" s="31"/>
      <c r="G508" s="31">
        <v>1.22</v>
      </c>
      <c r="H508" s="31">
        <v>1.25</v>
      </c>
      <c r="I508" s="31">
        <v>1.3</v>
      </c>
      <c r="J508" s="31"/>
      <c r="K508" s="52">
        <f t="shared" si="139"/>
        <v>262869.58750000002</v>
      </c>
      <c r="L508" s="52">
        <f t="shared" ref="L508:L510" si="148">K508+L507</f>
        <v>525739.17500000005</v>
      </c>
    </row>
    <row r="509" spans="1:12" ht="30" customHeight="1" x14ac:dyDescent="0.2">
      <c r="A509" s="27" t="s">
        <v>2947</v>
      </c>
      <c r="B509" s="27" t="s">
        <v>2948</v>
      </c>
      <c r="C509" s="27"/>
      <c r="D509" s="31">
        <f t="shared" si="147"/>
        <v>8.4</v>
      </c>
      <c r="E509" s="52">
        <v>132595</v>
      </c>
      <c r="F509" s="31"/>
      <c r="G509" s="31">
        <v>1.22</v>
      </c>
      <c r="H509" s="31">
        <v>1.25</v>
      </c>
      <c r="I509" s="31">
        <v>1.3</v>
      </c>
      <c r="J509" s="31"/>
      <c r="K509" s="52">
        <f t="shared" si="139"/>
        <v>262869.58750000002</v>
      </c>
      <c r="L509" s="52">
        <f t="shared" si="148"/>
        <v>788608.76250000007</v>
      </c>
    </row>
    <row r="510" spans="1:12" ht="30" customHeight="1" x14ac:dyDescent="0.2">
      <c r="A510" s="27" t="s">
        <v>2949</v>
      </c>
      <c r="B510" s="27" t="s">
        <v>2950</v>
      </c>
      <c r="C510" s="27"/>
      <c r="D510" s="31">
        <f t="shared" si="147"/>
        <v>11.55</v>
      </c>
      <c r="E510" s="52">
        <v>132595</v>
      </c>
      <c r="F510" s="31"/>
      <c r="G510" s="31">
        <v>1.22</v>
      </c>
      <c r="H510" s="31">
        <v>1.25</v>
      </c>
      <c r="I510" s="31">
        <v>1.3</v>
      </c>
      <c r="J510" s="31"/>
      <c r="K510" s="52">
        <f t="shared" si="139"/>
        <v>262869.58750000002</v>
      </c>
      <c r="L510" s="52">
        <f t="shared" si="148"/>
        <v>1051478.3500000001</v>
      </c>
    </row>
    <row r="511" spans="1:12" ht="30" customHeight="1" x14ac:dyDescent="0.2">
      <c r="A511" s="27" t="s">
        <v>2951</v>
      </c>
      <c r="B511" s="27" t="s">
        <v>2235</v>
      </c>
      <c r="C511" s="27"/>
      <c r="D511" s="31">
        <v>0</v>
      </c>
      <c r="E511" s="52">
        <v>0</v>
      </c>
      <c r="F511" s="31"/>
      <c r="G511" s="31"/>
      <c r="H511" s="31"/>
      <c r="I511" s="31"/>
      <c r="J511" s="31"/>
      <c r="K511" s="52">
        <f t="shared" si="139"/>
        <v>0</v>
      </c>
      <c r="L511" s="52">
        <f>K511</f>
        <v>0</v>
      </c>
    </row>
    <row r="512" spans="1:12" ht="30" customHeight="1" x14ac:dyDescent="0.2">
      <c r="A512" s="27" t="s">
        <v>2952</v>
      </c>
      <c r="B512" s="27" t="s">
        <v>2270</v>
      </c>
      <c r="C512" s="27"/>
      <c r="D512" s="31">
        <v>5.5659999999999998</v>
      </c>
      <c r="E512" s="52">
        <v>423469</v>
      </c>
      <c r="F512" s="31"/>
      <c r="G512" s="31">
        <v>1.22</v>
      </c>
      <c r="H512" s="31">
        <v>1.25</v>
      </c>
      <c r="I512" s="31">
        <v>1.3</v>
      </c>
      <c r="J512" s="31"/>
      <c r="K512" s="52">
        <f t="shared" si="139"/>
        <v>839527.29249999998</v>
      </c>
      <c r="L512" s="52">
        <f>K512+L511</f>
        <v>839527.29249999998</v>
      </c>
    </row>
    <row r="513" spans="1:12" ht="30" customHeight="1" x14ac:dyDescent="0.2">
      <c r="A513" s="27" t="s">
        <v>2953</v>
      </c>
      <c r="B513" s="27" t="s">
        <v>2954</v>
      </c>
      <c r="C513" s="27"/>
      <c r="D513" s="31">
        <v>2.9660000000000002</v>
      </c>
      <c r="E513" s="52">
        <v>34507</v>
      </c>
      <c r="F513" s="31">
        <v>1.5</v>
      </c>
      <c r="G513" s="31">
        <v>1.22</v>
      </c>
      <c r="H513" s="31">
        <v>1.25</v>
      </c>
      <c r="I513" s="31">
        <v>1.3</v>
      </c>
      <c r="J513" s="31"/>
      <c r="K513" s="52">
        <f t="shared" si="139"/>
        <v>102615.19125</v>
      </c>
      <c r="L513" s="52">
        <f>K513</f>
        <v>102615.19125</v>
      </c>
    </row>
    <row r="514" spans="1:12" ht="30" customHeight="1" x14ac:dyDescent="0.2">
      <c r="A514" s="27" t="s">
        <v>2955</v>
      </c>
      <c r="B514" s="27" t="s">
        <v>2956</v>
      </c>
      <c r="C514" s="27"/>
      <c r="D514" s="31">
        <v>3.8330000000000002</v>
      </c>
      <c r="E514" s="52">
        <v>33050</v>
      </c>
      <c r="F514" s="31">
        <v>1.5</v>
      </c>
      <c r="G514" s="31">
        <v>1.22</v>
      </c>
      <c r="H514" s="31">
        <v>1.25</v>
      </c>
      <c r="I514" s="31">
        <v>1.3</v>
      </c>
      <c r="J514" s="31"/>
      <c r="K514" s="52">
        <f t="shared" si="139"/>
        <v>98282.4375</v>
      </c>
      <c r="L514" s="52">
        <f t="shared" ref="L514:L531" si="149">K514+L513</f>
        <v>200897.62875</v>
      </c>
    </row>
    <row r="515" spans="1:12" ht="30" customHeight="1" x14ac:dyDescent="0.2">
      <c r="A515" s="27" t="s">
        <v>2957</v>
      </c>
      <c r="B515" s="27" t="s">
        <v>2958</v>
      </c>
      <c r="C515" s="27"/>
      <c r="D515" s="31">
        <f t="shared" ref="D515:D518" si="150">D514+0.5</f>
        <v>4.3330000000000002</v>
      </c>
      <c r="E515" s="52">
        <v>32175</v>
      </c>
      <c r="F515" s="31">
        <v>1.5</v>
      </c>
      <c r="G515" s="31">
        <v>1.22</v>
      </c>
      <c r="H515" s="31">
        <v>1.25</v>
      </c>
      <c r="I515" s="31">
        <v>1.3</v>
      </c>
      <c r="J515" s="31"/>
      <c r="K515" s="52">
        <f t="shared" si="139"/>
        <v>95680.40625</v>
      </c>
      <c r="L515" s="52">
        <f t="shared" si="149"/>
        <v>296578.03500000003</v>
      </c>
    </row>
    <row r="516" spans="1:12" ht="30" customHeight="1" x14ac:dyDescent="0.2">
      <c r="A516" s="27" t="s">
        <v>2959</v>
      </c>
      <c r="B516" s="27" t="s">
        <v>2960</v>
      </c>
      <c r="C516" s="27"/>
      <c r="D516" s="31">
        <f t="shared" si="150"/>
        <v>4.8330000000000002</v>
      </c>
      <c r="E516" s="52">
        <v>32175</v>
      </c>
      <c r="F516" s="31">
        <v>1.5</v>
      </c>
      <c r="G516" s="31">
        <v>1.22</v>
      </c>
      <c r="H516" s="31">
        <v>1.25</v>
      </c>
      <c r="I516" s="31">
        <v>1.3</v>
      </c>
      <c r="J516" s="31"/>
      <c r="K516" s="52">
        <f t="shared" si="139"/>
        <v>95680.40625</v>
      </c>
      <c r="L516" s="52">
        <f t="shared" si="149"/>
        <v>392258.44125000003</v>
      </c>
    </row>
    <row r="517" spans="1:12" ht="30" customHeight="1" x14ac:dyDescent="0.2">
      <c r="A517" s="27" t="s">
        <v>2961</v>
      </c>
      <c r="B517" s="27" t="s">
        <v>2962</v>
      </c>
      <c r="C517" s="27"/>
      <c r="D517" s="31">
        <f t="shared" si="150"/>
        <v>5.3330000000000002</v>
      </c>
      <c r="E517" s="52">
        <v>32175</v>
      </c>
      <c r="F517" s="31">
        <v>1.5</v>
      </c>
      <c r="G517" s="31">
        <v>1.22</v>
      </c>
      <c r="H517" s="31">
        <v>1.25</v>
      </c>
      <c r="I517" s="31">
        <v>1.3</v>
      </c>
      <c r="J517" s="31"/>
      <c r="K517" s="52">
        <f t="shared" si="139"/>
        <v>95680.40625</v>
      </c>
      <c r="L517" s="52">
        <f t="shared" si="149"/>
        <v>487938.84750000003</v>
      </c>
    </row>
    <row r="518" spans="1:12" ht="30" customHeight="1" x14ac:dyDescent="0.2">
      <c r="A518" s="27" t="s">
        <v>2963</v>
      </c>
      <c r="B518" s="27" t="s">
        <v>2964</v>
      </c>
      <c r="C518" s="27"/>
      <c r="D518" s="31">
        <f t="shared" si="150"/>
        <v>5.8330000000000002</v>
      </c>
      <c r="E518" s="52">
        <v>32175</v>
      </c>
      <c r="F518" s="31">
        <v>1.5</v>
      </c>
      <c r="G518" s="31">
        <v>1.22</v>
      </c>
      <c r="H518" s="31">
        <v>1.25</v>
      </c>
      <c r="I518" s="31">
        <v>1.3</v>
      </c>
      <c r="J518" s="31"/>
      <c r="K518" s="52">
        <f t="shared" si="139"/>
        <v>95680.40625</v>
      </c>
      <c r="L518" s="52">
        <f t="shared" si="149"/>
        <v>583619.25375000003</v>
      </c>
    </row>
    <row r="519" spans="1:12" ht="30" customHeight="1" x14ac:dyDescent="0.2">
      <c r="A519" s="27" t="s">
        <v>2965</v>
      </c>
      <c r="B519" s="27" t="s">
        <v>2966</v>
      </c>
      <c r="C519" s="27"/>
      <c r="D519" s="31">
        <f t="shared" ref="D519:D520" si="151">D518+2.066</f>
        <v>7.899</v>
      </c>
      <c r="E519" s="52">
        <v>32175</v>
      </c>
      <c r="F519" s="31">
        <v>1.5</v>
      </c>
      <c r="G519" s="31">
        <v>1.22</v>
      </c>
      <c r="H519" s="31">
        <v>1.25</v>
      </c>
      <c r="I519" s="31">
        <v>1.3</v>
      </c>
      <c r="J519" s="31"/>
      <c r="K519" s="52">
        <f t="shared" si="139"/>
        <v>95680.40625</v>
      </c>
      <c r="L519" s="52">
        <f t="shared" si="149"/>
        <v>679299.66</v>
      </c>
    </row>
    <row r="520" spans="1:12" ht="30" customHeight="1" x14ac:dyDescent="0.2">
      <c r="A520" s="27" t="s">
        <v>2967</v>
      </c>
      <c r="B520" s="27" t="s">
        <v>2968</v>
      </c>
      <c r="C520" s="27"/>
      <c r="D520" s="31">
        <f t="shared" si="151"/>
        <v>9.9649999999999999</v>
      </c>
      <c r="E520" s="52">
        <v>32175</v>
      </c>
      <c r="F520" s="31">
        <v>1.5</v>
      </c>
      <c r="G520" s="31">
        <v>1.22</v>
      </c>
      <c r="H520" s="31">
        <v>1.25</v>
      </c>
      <c r="I520" s="31">
        <v>1.3</v>
      </c>
      <c r="J520" s="31"/>
      <c r="K520" s="52">
        <f t="shared" si="139"/>
        <v>95680.40625</v>
      </c>
      <c r="L520" s="52">
        <f t="shared" si="149"/>
        <v>774980.06625000003</v>
      </c>
    </row>
    <row r="521" spans="1:12" ht="30" customHeight="1" x14ac:dyDescent="0.2">
      <c r="A521" s="27" t="s">
        <v>2969</v>
      </c>
      <c r="B521" s="27" t="s">
        <v>2970</v>
      </c>
      <c r="C521" s="27"/>
      <c r="D521" s="31">
        <f t="shared" ref="D521:D526" si="152">D520+0.5</f>
        <v>10.465</v>
      </c>
      <c r="E521" s="52">
        <v>32175</v>
      </c>
      <c r="F521" s="31">
        <v>1.5</v>
      </c>
      <c r="G521" s="31">
        <v>1.22</v>
      </c>
      <c r="H521" s="31">
        <v>1.25</v>
      </c>
      <c r="I521" s="31">
        <v>1.3</v>
      </c>
      <c r="J521" s="31"/>
      <c r="K521" s="52">
        <f t="shared" si="139"/>
        <v>95680.40625</v>
      </c>
      <c r="L521" s="52">
        <f t="shared" si="149"/>
        <v>870660.47250000003</v>
      </c>
    </row>
    <row r="522" spans="1:12" ht="30" customHeight="1" x14ac:dyDescent="0.2">
      <c r="A522" s="27" t="s">
        <v>2971</v>
      </c>
      <c r="B522" s="27" t="s">
        <v>2972</v>
      </c>
      <c r="C522" s="27"/>
      <c r="D522" s="31">
        <f t="shared" si="152"/>
        <v>10.965</v>
      </c>
      <c r="E522" s="52">
        <v>32175</v>
      </c>
      <c r="F522" s="31">
        <v>1.5</v>
      </c>
      <c r="G522" s="31">
        <v>1.22</v>
      </c>
      <c r="H522" s="31">
        <v>1.25</v>
      </c>
      <c r="I522" s="31">
        <v>1.3</v>
      </c>
      <c r="J522" s="31"/>
      <c r="K522" s="52">
        <f t="shared" si="139"/>
        <v>95680.40625</v>
      </c>
      <c r="L522" s="52">
        <f t="shared" si="149"/>
        <v>966340.87875000003</v>
      </c>
    </row>
    <row r="523" spans="1:12" ht="30" customHeight="1" x14ac:dyDescent="0.2">
      <c r="A523" s="27" t="s">
        <v>2973</v>
      </c>
      <c r="B523" s="27" t="s">
        <v>2974</v>
      </c>
      <c r="C523" s="27"/>
      <c r="D523" s="31">
        <f t="shared" si="152"/>
        <v>11.465</v>
      </c>
      <c r="E523" s="52">
        <v>32175</v>
      </c>
      <c r="F523" s="31">
        <v>1.5</v>
      </c>
      <c r="G523" s="31">
        <v>1.22</v>
      </c>
      <c r="H523" s="31">
        <v>1.25</v>
      </c>
      <c r="I523" s="31">
        <v>1.3</v>
      </c>
      <c r="J523" s="31"/>
      <c r="K523" s="52">
        <f t="shared" si="139"/>
        <v>95680.40625</v>
      </c>
      <c r="L523" s="52">
        <f t="shared" si="149"/>
        <v>1062021.2850000001</v>
      </c>
    </row>
    <row r="524" spans="1:12" ht="30" customHeight="1" x14ac:dyDescent="0.2">
      <c r="A524" s="27" t="s">
        <v>2975</v>
      </c>
      <c r="B524" s="27" t="s">
        <v>2976</v>
      </c>
      <c r="C524" s="27"/>
      <c r="D524" s="31">
        <f t="shared" si="152"/>
        <v>11.965</v>
      </c>
      <c r="E524" s="52">
        <v>32175</v>
      </c>
      <c r="F524" s="31">
        <v>1.5</v>
      </c>
      <c r="G524" s="31">
        <v>1.22</v>
      </c>
      <c r="H524" s="31">
        <v>1.25</v>
      </c>
      <c r="I524" s="31">
        <v>1.3</v>
      </c>
      <c r="J524" s="31"/>
      <c r="K524" s="52">
        <f t="shared" si="139"/>
        <v>95680.40625</v>
      </c>
      <c r="L524" s="52">
        <f t="shared" si="149"/>
        <v>1157701.6912500001</v>
      </c>
    </row>
    <row r="525" spans="1:12" ht="30" customHeight="1" x14ac:dyDescent="0.2">
      <c r="A525" s="27" t="s">
        <v>2977</v>
      </c>
      <c r="B525" s="27" t="s">
        <v>2978</v>
      </c>
      <c r="C525" s="27"/>
      <c r="D525" s="31">
        <f t="shared" si="152"/>
        <v>12.465</v>
      </c>
      <c r="E525" s="52">
        <v>32175</v>
      </c>
      <c r="F525" s="31">
        <v>1.5</v>
      </c>
      <c r="G525" s="31">
        <v>1.22</v>
      </c>
      <c r="H525" s="31">
        <v>1.25</v>
      </c>
      <c r="I525" s="31">
        <v>1.3</v>
      </c>
      <c r="J525" s="31"/>
      <c r="K525" s="52">
        <f t="shared" si="139"/>
        <v>95680.40625</v>
      </c>
      <c r="L525" s="52">
        <f t="shared" si="149"/>
        <v>1253382.0975000001</v>
      </c>
    </row>
    <row r="526" spans="1:12" ht="30" customHeight="1" x14ac:dyDescent="0.2">
      <c r="A526" s="27" t="s">
        <v>2979</v>
      </c>
      <c r="B526" s="27" t="s">
        <v>2980</v>
      </c>
      <c r="C526" s="27"/>
      <c r="D526" s="31">
        <f t="shared" si="152"/>
        <v>12.965</v>
      </c>
      <c r="E526" s="52">
        <v>32175</v>
      </c>
      <c r="F526" s="31">
        <v>1.5</v>
      </c>
      <c r="G526" s="31">
        <v>1.22</v>
      </c>
      <c r="H526" s="31">
        <v>1.25</v>
      </c>
      <c r="I526" s="31">
        <v>1.3</v>
      </c>
      <c r="J526" s="31"/>
      <c r="K526" s="52">
        <f t="shared" si="139"/>
        <v>95680.40625</v>
      </c>
      <c r="L526" s="52">
        <f t="shared" si="149"/>
        <v>1349062.5037500001</v>
      </c>
    </row>
    <row r="527" spans="1:12" ht="30" customHeight="1" x14ac:dyDescent="0.2">
      <c r="A527" s="27" t="s">
        <v>2981</v>
      </c>
      <c r="B527" s="27" t="s">
        <v>2982</v>
      </c>
      <c r="C527" s="27"/>
      <c r="D527" s="31">
        <f>D526+2.066</f>
        <v>15.030999999999999</v>
      </c>
      <c r="E527" s="52">
        <v>32175</v>
      </c>
      <c r="F527" s="31">
        <v>1.5</v>
      </c>
      <c r="G527" s="31">
        <v>1.22</v>
      </c>
      <c r="H527" s="31">
        <v>1.25</v>
      </c>
      <c r="I527" s="31">
        <v>1.3</v>
      </c>
      <c r="J527" s="31"/>
      <c r="K527" s="52">
        <f t="shared" si="139"/>
        <v>95680.40625</v>
      </c>
      <c r="L527" s="52">
        <f t="shared" si="149"/>
        <v>1444742.9100000001</v>
      </c>
    </row>
    <row r="528" spans="1:12" ht="30" customHeight="1" x14ac:dyDescent="0.2">
      <c r="A528" s="27" t="s">
        <v>2983</v>
      </c>
      <c r="B528" s="27" t="s">
        <v>2984</v>
      </c>
      <c r="C528" s="27"/>
      <c r="D528" s="31">
        <f t="shared" ref="D528:D531" si="153">D527+0.5</f>
        <v>15.530999999999999</v>
      </c>
      <c r="E528" s="52">
        <v>32175</v>
      </c>
      <c r="F528" s="31">
        <v>1.5</v>
      </c>
      <c r="G528" s="31">
        <v>1.22</v>
      </c>
      <c r="H528" s="31">
        <v>1.25</v>
      </c>
      <c r="I528" s="31">
        <v>1.3</v>
      </c>
      <c r="J528" s="31"/>
      <c r="K528" s="52">
        <f t="shared" si="139"/>
        <v>95680.40625</v>
      </c>
      <c r="L528" s="52">
        <f t="shared" si="149"/>
        <v>1540423.3162500001</v>
      </c>
    </row>
    <row r="529" spans="1:12" ht="30" customHeight="1" x14ac:dyDescent="0.2">
      <c r="A529" s="27" t="s">
        <v>2985</v>
      </c>
      <c r="B529" s="27" t="s">
        <v>2986</v>
      </c>
      <c r="C529" s="27"/>
      <c r="D529" s="31">
        <f t="shared" si="153"/>
        <v>16.030999999999999</v>
      </c>
      <c r="E529" s="52">
        <v>32175</v>
      </c>
      <c r="F529" s="31">
        <v>1.5</v>
      </c>
      <c r="G529" s="31">
        <v>1.22</v>
      </c>
      <c r="H529" s="31">
        <v>1.25</v>
      </c>
      <c r="I529" s="31">
        <v>1.3</v>
      </c>
      <c r="J529" s="31"/>
      <c r="K529" s="52">
        <f t="shared" si="139"/>
        <v>95680.40625</v>
      </c>
      <c r="L529" s="52">
        <f t="shared" si="149"/>
        <v>1636103.7225000001</v>
      </c>
    </row>
    <row r="530" spans="1:12" ht="30" customHeight="1" x14ac:dyDescent="0.2">
      <c r="A530" s="27" t="s">
        <v>2987</v>
      </c>
      <c r="B530" s="27" t="s">
        <v>2988</v>
      </c>
      <c r="C530" s="27"/>
      <c r="D530" s="31">
        <f t="shared" si="153"/>
        <v>16.530999999999999</v>
      </c>
      <c r="E530" s="52">
        <v>32175</v>
      </c>
      <c r="F530" s="31">
        <v>1.5</v>
      </c>
      <c r="G530" s="31">
        <v>1.22</v>
      </c>
      <c r="H530" s="31">
        <v>1.25</v>
      </c>
      <c r="I530" s="31">
        <v>1.3</v>
      </c>
      <c r="J530" s="31"/>
      <c r="K530" s="52">
        <f t="shared" si="139"/>
        <v>95680.40625</v>
      </c>
      <c r="L530" s="52">
        <f t="shared" si="149"/>
        <v>1731784.1287500001</v>
      </c>
    </row>
    <row r="531" spans="1:12" ht="30" customHeight="1" x14ac:dyDescent="0.2">
      <c r="A531" s="27" t="s">
        <v>2989</v>
      </c>
      <c r="B531" s="27" t="s">
        <v>2990</v>
      </c>
      <c r="C531" s="27"/>
      <c r="D531" s="31">
        <f t="shared" si="153"/>
        <v>17.030999999999999</v>
      </c>
      <c r="E531" s="52">
        <v>32175</v>
      </c>
      <c r="F531" s="31">
        <v>1.5</v>
      </c>
      <c r="G531" s="31">
        <v>1.22</v>
      </c>
      <c r="H531" s="31">
        <v>1.25</v>
      </c>
      <c r="I531" s="31">
        <v>1.3</v>
      </c>
      <c r="J531" s="31"/>
      <c r="K531" s="52">
        <f t="shared" si="139"/>
        <v>95680.40625</v>
      </c>
      <c r="L531" s="52">
        <f t="shared" si="149"/>
        <v>1827464.5350000001</v>
      </c>
    </row>
    <row r="532" spans="1:12" ht="30" customHeight="1" x14ac:dyDescent="0.2">
      <c r="A532" s="27" t="s">
        <v>2991</v>
      </c>
      <c r="B532" s="27" t="s">
        <v>2954</v>
      </c>
      <c r="C532" s="27"/>
      <c r="D532" s="31">
        <v>2.766</v>
      </c>
      <c r="E532" s="52">
        <v>34507</v>
      </c>
      <c r="F532" s="31">
        <v>1.5</v>
      </c>
      <c r="G532" s="31">
        <v>1.22</v>
      </c>
      <c r="H532" s="31">
        <v>1.25</v>
      </c>
      <c r="I532" s="31">
        <v>1.3</v>
      </c>
      <c r="J532" s="31"/>
      <c r="K532" s="52">
        <f t="shared" si="139"/>
        <v>102615.19125</v>
      </c>
      <c r="L532" s="52">
        <f>K532</f>
        <v>102615.19125</v>
      </c>
    </row>
    <row r="533" spans="1:12" ht="30" customHeight="1" x14ac:dyDescent="0.2">
      <c r="A533" s="27" t="s">
        <v>2992</v>
      </c>
      <c r="B533" s="27" t="s">
        <v>2956</v>
      </c>
      <c r="C533" s="27"/>
      <c r="D533" s="31">
        <f>D532+0.867</f>
        <v>3.633</v>
      </c>
      <c r="E533" s="52">
        <v>33050</v>
      </c>
      <c r="F533" s="31">
        <v>1.5</v>
      </c>
      <c r="G533" s="31">
        <v>1.22</v>
      </c>
      <c r="H533" s="31">
        <v>1.25</v>
      </c>
      <c r="I533" s="31">
        <v>1.3</v>
      </c>
      <c r="J533" s="31"/>
      <c r="K533" s="52">
        <f t="shared" si="139"/>
        <v>98282.4375</v>
      </c>
      <c r="L533" s="52">
        <f t="shared" ref="L533:L550" si="154">K533+L532</f>
        <v>200897.62875</v>
      </c>
    </row>
    <row r="534" spans="1:12" ht="30" customHeight="1" x14ac:dyDescent="0.2">
      <c r="A534" s="27" t="s">
        <v>2993</v>
      </c>
      <c r="B534" s="27" t="s">
        <v>2958</v>
      </c>
      <c r="C534" s="27"/>
      <c r="D534" s="31">
        <f t="shared" ref="D534:D538" si="155">D533+0.5</f>
        <v>4.133</v>
      </c>
      <c r="E534" s="52">
        <v>32175</v>
      </c>
      <c r="F534" s="31">
        <v>1.5</v>
      </c>
      <c r="G534" s="31">
        <v>1.22</v>
      </c>
      <c r="H534" s="31">
        <v>1.25</v>
      </c>
      <c r="I534" s="31">
        <v>1.3</v>
      </c>
      <c r="J534" s="31"/>
      <c r="K534" s="52">
        <f t="shared" si="139"/>
        <v>95680.40625</v>
      </c>
      <c r="L534" s="52">
        <f t="shared" si="154"/>
        <v>296578.03500000003</v>
      </c>
    </row>
    <row r="535" spans="1:12" ht="30" customHeight="1" x14ac:dyDescent="0.2">
      <c r="A535" s="27" t="s">
        <v>2994</v>
      </c>
      <c r="B535" s="27" t="s">
        <v>2960</v>
      </c>
      <c r="C535" s="27"/>
      <c r="D535" s="31">
        <f t="shared" si="155"/>
        <v>4.633</v>
      </c>
      <c r="E535" s="52">
        <v>32175</v>
      </c>
      <c r="F535" s="31">
        <v>1.5</v>
      </c>
      <c r="G535" s="31">
        <v>1.22</v>
      </c>
      <c r="H535" s="31">
        <v>1.25</v>
      </c>
      <c r="I535" s="31">
        <v>1.3</v>
      </c>
      <c r="J535" s="31"/>
      <c r="K535" s="52">
        <f t="shared" si="139"/>
        <v>95680.40625</v>
      </c>
      <c r="L535" s="52">
        <f t="shared" si="154"/>
        <v>392258.44125000003</v>
      </c>
    </row>
    <row r="536" spans="1:12" ht="30" customHeight="1" x14ac:dyDescent="0.2">
      <c r="A536" s="27" t="s">
        <v>2995</v>
      </c>
      <c r="B536" s="27" t="s">
        <v>2962</v>
      </c>
      <c r="C536" s="27"/>
      <c r="D536" s="31">
        <f t="shared" si="155"/>
        <v>5.133</v>
      </c>
      <c r="E536" s="52">
        <v>32175</v>
      </c>
      <c r="F536" s="31">
        <v>1.5</v>
      </c>
      <c r="G536" s="31">
        <v>1.22</v>
      </c>
      <c r="H536" s="31">
        <v>1.25</v>
      </c>
      <c r="I536" s="31">
        <v>1.3</v>
      </c>
      <c r="J536" s="31"/>
      <c r="K536" s="52">
        <f t="shared" si="139"/>
        <v>95680.40625</v>
      </c>
      <c r="L536" s="52">
        <f t="shared" si="154"/>
        <v>487938.84750000003</v>
      </c>
    </row>
    <row r="537" spans="1:12" ht="30" customHeight="1" x14ac:dyDescent="0.2">
      <c r="A537" s="27" t="s">
        <v>2996</v>
      </c>
      <c r="B537" s="27" t="s">
        <v>2964</v>
      </c>
      <c r="C537" s="27"/>
      <c r="D537" s="31">
        <f t="shared" si="155"/>
        <v>5.633</v>
      </c>
      <c r="E537" s="52">
        <v>32175</v>
      </c>
      <c r="F537" s="31">
        <v>1.5</v>
      </c>
      <c r="G537" s="31">
        <v>1.22</v>
      </c>
      <c r="H537" s="31">
        <v>1.25</v>
      </c>
      <c r="I537" s="31">
        <v>1.3</v>
      </c>
      <c r="J537" s="31"/>
      <c r="K537" s="52">
        <f t="shared" si="139"/>
        <v>95680.40625</v>
      </c>
      <c r="L537" s="52">
        <f t="shared" si="154"/>
        <v>583619.25375000003</v>
      </c>
    </row>
    <row r="538" spans="1:12" ht="30" customHeight="1" x14ac:dyDescent="0.2">
      <c r="A538" s="27" t="s">
        <v>2997</v>
      </c>
      <c r="B538" s="27" t="s">
        <v>2966</v>
      </c>
      <c r="C538" s="27"/>
      <c r="D538" s="31">
        <f t="shared" si="155"/>
        <v>6.133</v>
      </c>
      <c r="E538" s="52">
        <v>32175</v>
      </c>
      <c r="F538" s="31">
        <v>1.5</v>
      </c>
      <c r="G538" s="31">
        <v>1.22</v>
      </c>
      <c r="H538" s="31">
        <v>1.25</v>
      </c>
      <c r="I538" s="31">
        <v>1.3</v>
      </c>
      <c r="J538" s="31"/>
      <c r="K538" s="52">
        <f t="shared" si="139"/>
        <v>95680.40625</v>
      </c>
      <c r="L538" s="52">
        <f t="shared" si="154"/>
        <v>679299.66</v>
      </c>
    </row>
    <row r="539" spans="1:12" ht="30" customHeight="1" x14ac:dyDescent="0.2">
      <c r="A539" s="27" t="s">
        <v>2998</v>
      </c>
      <c r="B539" s="27" t="s">
        <v>2968</v>
      </c>
      <c r="C539" s="27"/>
      <c r="D539" s="31">
        <f>D538+1.483</f>
        <v>7.6159999999999997</v>
      </c>
      <c r="E539" s="52">
        <v>32175</v>
      </c>
      <c r="F539" s="31">
        <v>1.5</v>
      </c>
      <c r="G539" s="31">
        <v>1.22</v>
      </c>
      <c r="H539" s="31">
        <v>1.25</v>
      </c>
      <c r="I539" s="31">
        <v>1.3</v>
      </c>
      <c r="J539" s="31"/>
      <c r="K539" s="52">
        <f t="shared" si="139"/>
        <v>95680.40625</v>
      </c>
      <c r="L539" s="52">
        <f t="shared" si="154"/>
        <v>774980.06625000003</v>
      </c>
    </row>
    <row r="540" spans="1:12" ht="30" customHeight="1" x14ac:dyDescent="0.2">
      <c r="A540" s="27" t="s">
        <v>2999</v>
      </c>
      <c r="B540" s="27" t="s">
        <v>2970</v>
      </c>
      <c r="C540" s="27"/>
      <c r="D540" s="31">
        <f t="shared" ref="D540:D545" si="156">D539+0.5</f>
        <v>8.1159999999999997</v>
      </c>
      <c r="E540" s="52">
        <v>32175</v>
      </c>
      <c r="F540" s="31">
        <v>1.5</v>
      </c>
      <c r="G540" s="31">
        <v>1.22</v>
      </c>
      <c r="H540" s="31">
        <v>1.25</v>
      </c>
      <c r="I540" s="31">
        <v>1.3</v>
      </c>
      <c r="J540" s="31"/>
      <c r="K540" s="52">
        <f t="shared" si="139"/>
        <v>95680.40625</v>
      </c>
      <c r="L540" s="52">
        <f t="shared" si="154"/>
        <v>870660.47250000003</v>
      </c>
    </row>
    <row r="541" spans="1:12" ht="30" customHeight="1" x14ac:dyDescent="0.2">
      <c r="A541" s="27" t="s">
        <v>3000</v>
      </c>
      <c r="B541" s="27" t="s">
        <v>2972</v>
      </c>
      <c r="C541" s="27"/>
      <c r="D541" s="31">
        <f t="shared" si="156"/>
        <v>8.6159999999999997</v>
      </c>
      <c r="E541" s="52">
        <v>32175</v>
      </c>
      <c r="F541" s="31">
        <v>1.5</v>
      </c>
      <c r="G541" s="31">
        <v>1.22</v>
      </c>
      <c r="H541" s="31">
        <v>1.25</v>
      </c>
      <c r="I541" s="31">
        <v>1.3</v>
      </c>
      <c r="J541" s="31"/>
      <c r="K541" s="52">
        <f t="shared" si="139"/>
        <v>95680.40625</v>
      </c>
      <c r="L541" s="52">
        <f t="shared" si="154"/>
        <v>966340.87875000003</v>
      </c>
    </row>
    <row r="542" spans="1:12" ht="30" customHeight="1" x14ac:dyDescent="0.2">
      <c r="A542" s="27" t="s">
        <v>3001</v>
      </c>
      <c r="B542" s="27" t="s">
        <v>2974</v>
      </c>
      <c r="C542" s="27"/>
      <c r="D542" s="31">
        <f t="shared" si="156"/>
        <v>9.1159999999999997</v>
      </c>
      <c r="E542" s="52">
        <v>32175</v>
      </c>
      <c r="F542" s="31">
        <v>1.5</v>
      </c>
      <c r="G542" s="31">
        <v>1.22</v>
      </c>
      <c r="H542" s="31">
        <v>1.25</v>
      </c>
      <c r="I542" s="31">
        <v>1.3</v>
      </c>
      <c r="J542" s="31"/>
      <c r="K542" s="52">
        <f t="shared" si="139"/>
        <v>95680.40625</v>
      </c>
      <c r="L542" s="52">
        <f t="shared" si="154"/>
        <v>1062021.2850000001</v>
      </c>
    </row>
    <row r="543" spans="1:12" ht="30" customHeight="1" x14ac:dyDescent="0.2">
      <c r="A543" s="27" t="s">
        <v>3002</v>
      </c>
      <c r="B543" s="27" t="s">
        <v>2976</v>
      </c>
      <c r="C543" s="27"/>
      <c r="D543" s="31">
        <f t="shared" si="156"/>
        <v>9.6159999999999997</v>
      </c>
      <c r="E543" s="52">
        <v>32175</v>
      </c>
      <c r="F543" s="31">
        <v>1.5</v>
      </c>
      <c r="G543" s="31">
        <v>1.22</v>
      </c>
      <c r="H543" s="31">
        <v>1.25</v>
      </c>
      <c r="I543" s="31">
        <v>1.3</v>
      </c>
      <c r="J543" s="31"/>
      <c r="K543" s="52">
        <f t="shared" si="139"/>
        <v>95680.40625</v>
      </c>
      <c r="L543" s="52">
        <f t="shared" si="154"/>
        <v>1157701.6912500001</v>
      </c>
    </row>
    <row r="544" spans="1:12" ht="30" customHeight="1" x14ac:dyDescent="0.2">
      <c r="A544" s="27" t="s">
        <v>3003</v>
      </c>
      <c r="B544" s="27" t="s">
        <v>2978</v>
      </c>
      <c r="C544" s="27"/>
      <c r="D544" s="31">
        <f t="shared" si="156"/>
        <v>10.116</v>
      </c>
      <c r="E544" s="52">
        <v>32175</v>
      </c>
      <c r="F544" s="31">
        <v>1.5</v>
      </c>
      <c r="G544" s="31">
        <v>1.22</v>
      </c>
      <c r="H544" s="31">
        <v>1.25</v>
      </c>
      <c r="I544" s="31">
        <v>1.3</v>
      </c>
      <c r="J544" s="31"/>
      <c r="K544" s="52">
        <f t="shared" si="139"/>
        <v>95680.40625</v>
      </c>
      <c r="L544" s="52">
        <f t="shared" si="154"/>
        <v>1253382.0975000001</v>
      </c>
    </row>
    <row r="545" spans="1:12" ht="30" customHeight="1" x14ac:dyDescent="0.2">
      <c r="A545" s="27" t="s">
        <v>3004</v>
      </c>
      <c r="B545" s="27" t="s">
        <v>2980</v>
      </c>
      <c r="C545" s="27"/>
      <c r="D545" s="31">
        <f t="shared" si="156"/>
        <v>10.616</v>
      </c>
      <c r="E545" s="52">
        <v>32175</v>
      </c>
      <c r="F545" s="31">
        <v>1.5</v>
      </c>
      <c r="G545" s="31">
        <v>1.22</v>
      </c>
      <c r="H545" s="31">
        <v>1.25</v>
      </c>
      <c r="I545" s="31">
        <v>1.3</v>
      </c>
      <c r="J545" s="31"/>
      <c r="K545" s="52">
        <f t="shared" si="139"/>
        <v>95680.40625</v>
      </c>
      <c r="L545" s="52">
        <f t="shared" si="154"/>
        <v>1349062.5037500001</v>
      </c>
    </row>
    <row r="546" spans="1:12" ht="30" customHeight="1" x14ac:dyDescent="0.2">
      <c r="A546" s="27" t="s">
        <v>3005</v>
      </c>
      <c r="B546" s="27" t="s">
        <v>2982</v>
      </c>
      <c r="C546" s="27"/>
      <c r="D546" s="31">
        <f>D545+1.483</f>
        <v>12.099</v>
      </c>
      <c r="E546" s="52">
        <v>32175</v>
      </c>
      <c r="F546" s="31">
        <v>1.5</v>
      </c>
      <c r="G546" s="31">
        <v>1.22</v>
      </c>
      <c r="H546" s="31">
        <v>1.25</v>
      </c>
      <c r="I546" s="31">
        <v>1.3</v>
      </c>
      <c r="J546" s="31"/>
      <c r="K546" s="52">
        <f t="shared" si="139"/>
        <v>95680.40625</v>
      </c>
      <c r="L546" s="52">
        <f t="shared" si="154"/>
        <v>1444742.9100000001</v>
      </c>
    </row>
    <row r="547" spans="1:12" ht="30" customHeight="1" x14ac:dyDescent="0.2">
      <c r="A547" s="27" t="s">
        <v>3006</v>
      </c>
      <c r="B547" s="27" t="s">
        <v>2984</v>
      </c>
      <c r="C547" s="27"/>
      <c r="D547" s="31">
        <f t="shared" ref="D547:D550" si="157">D546+0.5</f>
        <v>12.599</v>
      </c>
      <c r="E547" s="52">
        <v>32175</v>
      </c>
      <c r="F547" s="31">
        <v>1.5</v>
      </c>
      <c r="G547" s="31">
        <v>1.22</v>
      </c>
      <c r="H547" s="31">
        <v>1.25</v>
      </c>
      <c r="I547" s="31">
        <v>1.3</v>
      </c>
      <c r="J547" s="31"/>
      <c r="K547" s="52">
        <f t="shared" si="139"/>
        <v>95680.40625</v>
      </c>
      <c r="L547" s="52">
        <f t="shared" si="154"/>
        <v>1540423.3162500001</v>
      </c>
    </row>
    <row r="548" spans="1:12" ht="30" customHeight="1" x14ac:dyDescent="0.2">
      <c r="A548" s="27" t="s">
        <v>3007</v>
      </c>
      <c r="B548" s="27" t="s">
        <v>2986</v>
      </c>
      <c r="C548" s="27"/>
      <c r="D548" s="31">
        <f t="shared" si="157"/>
        <v>13.099</v>
      </c>
      <c r="E548" s="52">
        <v>32175</v>
      </c>
      <c r="F548" s="31">
        <v>1.5</v>
      </c>
      <c r="G548" s="31">
        <v>1.22</v>
      </c>
      <c r="H548" s="31">
        <v>1.25</v>
      </c>
      <c r="I548" s="31">
        <v>1.3</v>
      </c>
      <c r="J548" s="31"/>
      <c r="K548" s="52">
        <f t="shared" si="139"/>
        <v>95680.40625</v>
      </c>
      <c r="L548" s="52">
        <f t="shared" si="154"/>
        <v>1636103.7225000001</v>
      </c>
    </row>
    <row r="549" spans="1:12" ht="30" customHeight="1" x14ac:dyDescent="0.2">
      <c r="A549" s="27" t="s">
        <v>3008</v>
      </c>
      <c r="B549" s="27" t="s">
        <v>2988</v>
      </c>
      <c r="C549" s="27"/>
      <c r="D549" s="31">
        <f t="shared" si="157"/>
        <v>13.599</v>
      </c>
      <c r="E549" s="52">
        <v>32175</v>
      </c>
      <c r="F549" s="31">
        <v>1.5</v>
      </c>
      <c r="G549" s="31">
        <v>1.22</v>
      </c>
      <c r="H549" s="31">
        <v>1.25</v>
      </c>
      <c r="I549" s="31">
        <v>1.3</v>
      </c>
      <c r="J549" s="31"/>
      <c r="K549" s="52">
        <f t="shared" si="139"/>
        <v>95680.40625</v>
      </c>
      <c r="L549" s="52">
        <f t="shared" si="154"/>
        <v>1731784.1287500001</v>
      </c>
    </row>
    <row r="550" spans="1:12" ht="30" customHeight="1" x14ac:dyDescent="0.2">
      <c r="A550" s="27" t="s">
        <v>3009</v>
      </c>
      <c r="B550" s="27" t="s">
        <v>2990</v>
      </c>
      <c r="C550" s="27"/>
      <c r="D550" s="31">
        <f t="shared" si="157"/>
        <v>14.099</v>
      </c>
      <c r="E550" s="52">
        <v>32175</v>
      </c>
      <c r="F550" s="31">
        <v>1.5</v>
      </c>
      <c r="G550" s="31">
        <v>1.22</v>
      </c>
      <c r="H550" s="31">
        <v>1.25</v>
      </c>
      <c r="I550" s="31">
        <v>1.3</v>
      </c>
      <c r="J550" s="31"/>
      <c r="K550" s="52">
        <f t="shared" si="139"/>
        <v>95680.40625</v>
      </c>
      <c r="L550" s="52">
        <f t="shared" si="154"/>
        <v>1827464.5350000001</v>
      </c>
    </row>
    <row r="551" spans="1:12" ht="30" customHeight="1" x14ac:dyDescent="0.2">
      <c r="A551" s="27" t="s">
        <v>560</v>
      </c>
      <c r="B551" s="27" t="s">
        <v>3010</v>
      </c>
      <c r="C551" s="27"/>
      <c r="D551" s="31">
        <v>1.333</v>
      </c>
      <c r="E551" s="52">
        <f>8*27780*1.125</f>
        <v>250020</v>
      </c>
      <c r="F551" s="31"/>
      <c r="G551" s="31"/>
      <c r="H551" s="31"/>
      <c r="I551" s="31">
        <v>1.3</v>
      </c>
      <c r="J551" s="31"/>
      <c r="K551" s="52">
        <f t="shared" si="139"/>
        <v>325026</v>
      </c>
      <c r="L551" s="52">
        <f>K551</f>
        <v>325026</v>
      </c>
    </row>
    <row r="552" spans="1:12" ht="30" customHeight="1" x14ac:dyDescent="0.2">
      <c r="A552" s="27" t="s">
        <v>560</v>
      </c>
      <c r="B552" s="27" t="s">
        <v>3011</v>
      </c>
      <c r="C552" s="27"/>
      <c r="D552" s="31">
        <f>D551+1.267</f>
        <v>2.5999999999999996</v>
      </c>
      <c r="E552" s="52">
        <f>8*17374*1.125</f>
        <v>156366</v>
      </c>
      <c r="F552" s="31"/>
      <c r="G552" s="31"/>
      <c r="H552" s="31"/>
      <c r="I552" s="31">
        <v>1.3</v>
      </c>
      <c r="J552" s="31"/>
      <c r="K552" s="52">
        <f t="shared" si="139"/>
        <v>203275.80000000002</v>
      </c>
      <c r="L552" s="52">
        <f>K552+L551</f>
        <v>528301.80000000005</v>
      </c>
    </row>
    <row r="553" spans="1:12" ht="30" customHeight="1" x14ac:dyDescent="0.2">
      <c r="A553" s="27" t="s">
        <v>561</v>
      </c>
      <c r="B553" s="27" t="s">
        <v>3012</v>
      </c>
      <c r="C553" s="27"/>
      <c r="D553" s="31">
        <v>1.25</v>
      </c>
      <c r="E553" s="52">
        <f>166123+33225+6*111</f>
        <v>200014</v>
      </c>
      <c r="F553" s="31"/>
      <c r="G553" s="31"/>
      <c r="H553" s="31"/>
      <c r="I553" s="31">
        <v>1.3</v>
      </c>
      <c r="J553" s="31"/>
      <c r="K553" s="52">
        <f t="shared" si="139"/>
        <v>260018.2</v>
      </c>
      <c r="L553" s="52">
        <f>K553</f>
        <v>260018.2</v>
      </c>
    </row>
    <row r="554" spans="1:12" ht="30" customHeight="1" x14ac:dyDescent="0.2">
      <c r="A554" s="27" t="s">
        <v>561</v>
      </c>
      <c r="B554" s="27" t="s">
        <v>3013</v>
      </c>
      <c r="C554" s="27"/>
      <c r="D554" s="31">
        <v>3.2829999999999999</v>
      </c>
      <c r="E554" s="52">
        <f>(33225+111)*3+111*4</f>
        <v>100452</v>
      </c>
      <c r="F554" s="31"/>
      <c r="G554" s="31"/>
      <c r="H554" s="31"/>
      <c r="I554" s="31">
        <v>1.3</v>
      </c>
      <c r="J554" s="31"/>
      <c r="K554" s="52">
        <f t="shared" si="139"/>
        <v>130587.6</v>
      </c>
      <c r="L554" s="52">
        <f>K554+L553</f>
        <v>390605.80000000005</v>
      </c>
    </row>
    <row r="555" spans="1:12" ht="30" customHeight="1" x14ac:dyDescent="0.2">
      <c r="A555" s="27" t="s">
        <v>3014</v>
      </c>
      <c r="B555" s="27" t="s">
        <v>2520</v>
      </c>
      <c r="C555" s="27"/>
      <c r="D555" s="31">
        <v>2.2330000000000001</v>
      </c>
      <c r="E555" s="52">
        <v>79194</v>
      </c>
      <c r="F555" s="31"/>
      <c r="G555" s="31">
        <v>1.22</v>
      </c>
      <c r="H555" s="31">
        <v>1.25</v>
      </c>
      <c r="I555" s="31">
        <v>1.3</v>
      </c>
      <c r="J555" s="31"/>
      <c r="K555" s="52">
        <f t="shared" si="139"/>
        <v>157002.10499999998</v>
      </c>
      <c r="L555" s="52">
        <f>K555</f>
        <v>157002.10499999998</v>
      </c>
    </row>
    <row r="556" spans="1:12" ht="30" customHeight="1" x14ac:dyDescent="0.2">
      <c r="A556" s="27" t="s">
        <v>3015</v>
      </c>
      <c r="B556" s="27" t="s">
        <v>2617</v>
      </c>
      <c r="C556" s="27"/>
      <c r="D556" s="31">
        <v>3.15</v>
      </c>
      <c r="E556" s="52">
        <v>33421</v>
      </c>
      <c r="F556" s="31"/>
      <c r="G556" s="31">
        <v>1.22</v>
      </c>
      <c r="H556" s="31">
        <v>1.25</v>
      </c>
      <c r="I556" s="31">
        <v>1.3</v>
      </c>
      <c r="J556" s="31"/>
      <c r="K556" s="52">
        <f t="shared" si="139"/>
        <v>66257.132500000007</v>
      </c>
      <c r="L556" s="52">
        <f t="shared" ref="L556:L570" si="158">K556+L555</f>
        <v>223259.23749999999</v>
      </c>
    </row>
    <row r="557" spans="1:12" ht="30" customHeight="1" x14ac:dyDescent="0.2">
      <c r="A557" s="27" t="s">
        <v>3016</v>
      </c>
      <c r="B557" s="27" t="s">
        <v>2522</v>
      </c>
      <c r="C557" s="27"/>
      <c r="D557" s="31">
        <f t="shared" ref="D557:D562" si="159">D555+1.733</f>
        <v>3.9660000000000002</v>
      </c>
      <c r="E557" s="52">
        <v>79194</v>
      </c>
      <c r="F557" s="31"/>
      <c r="G557" s="31">
        <v>1.22</v>
      </c>
      <c r="H557" s="31">
        <v>1.25</v>
      </c>
      <c r="I557" s="31">
        <v>1.3</v>
      </c>
      <c r="J557" s="31"/>
      <c r="K557" s="52">
        <f t="shared" si="139"/>
        <v>157002.10499999998</v>
      </c>
      <c r="L557" s="52">
        <f t="shared" si="158"/>
        <v>380261.34249999997</v>
      </c>
    </row>
    <row r="558" spans="1:12" ht="30" customHeight="1" x14ac:dyDescent="0.2">
      <c r="A558" s="27" t="s">
        <v>3017</v>
      </c>
      <c r="B558" s="27" t="s">
        <v>2619</v>
      </c>
      <c r="C558" s="27"/>
      <c r="D558" s="31">
        <f t="shared" si="159"/>
        <v>4.883</v>
      </c>
      <c r="E558" s="52">
        <v>33421</v>
      </c>
      <c r="F558" s="31"/>
      <c r="G558" s="31">
        <v>1.22</v>
      </c>
      <c r="H558" s="31">
        <v>1.25</v>
      </c>
      <c r="I558" s="31">
        <v>1.3</v>
      </c>
      <c r="J558" s="31"/>
      <c r="K558" s="52">
        <f t="shared" si="139"/>
        <v>66257.132500000007</v>
      </c>
      <c r="L558" s="52">
        <f t="shared" si="158"/>
        <v>446518.47499999998</v>
      </c>
    </row>
    <row r="559" spans="1:12" ht="30" customHeight="1" x14ac:dyDescent="0.2">
      <c r="A559" s="27" t="s">
        <v>3018</v>
      </c>
      <c r="B559" s="27" t="s">
        <v>2524</v>
      </c>
      <c r="C559" s="27"/>
      <c r="D559" s="31">
        <f t="shared" si="159"/>
        <v>5.6989999999999998</v>
      </c>
      <c r="E559" s="52">
        <v>79194</v>
      </c>
      <c r="F559" s="31"/>
      <c r="G559" s="31">
        <v>1.22</v>
      </c>
      <c r="H559" s="31">
        <v>1.25</v>
      </c>
      <c r="I559" s="31">
        <v>1.3</v>
      </c>
      <c r="J559" s="31"/>
      <c r="K559" s="52">
        <f t="shared" si="139"/>
        <v>157002.10499999998</v>
      </c>
      <c r="L559" s="52">
        <f t="shared" si="158"/>
        <v>603520.57999999996</v>
      </c>
    </row>
    <row r="560" spans="1:12" ht="30" customHeight="1" x14ac:dyDescent="0.2">
      <c r="A560" s="27" t="s">
        <v>3019</v>
      </c>
      <c r="B560" s="27" t="s">
        <v>2621</v>
      </c>
      <c r="C560" s="27"/>
      <c r="D560" s="31">
        <f t="shared" si="159"/>
        <v>6.6159999999999997</v>
      </c>
      <c r="E560" s="52">
        <v>33421</v>
      </c>
      <c r="F560" s="31"/>
      <c r="G560" s="31">
        <v>1.22</v>
      </c>
      <c r="H560" s="31">
        <v>1.25</v>
      </c>
      <c r="I560" s="31">
        <v>1.3</v>
      </c>
      <c r="J560" s="31"/>
      <c r="K560" s="52">
        <f t="shared" si="139"/>
        <v>66257.132500000007</v>
      </c>
      <c r="L560" s="52">
        <f t="shared" si="158"/>
        <v>669777.71249999991</v>
      </c>
    </row>
    <row r="561" spans="1:12" ht="30" customHeight="1" x14ac:dyDescent="0.2">
      <c r="A561" s="27" t="s">
        <v>3020</v>
      </c>
      <c r="B561" s="27" t="s">
        <v>2526</v>
      </c>
      <c r="C561" s="27"/>
      <c r="D561" s="31">
        <f t="shared" si="159"/>
        <v>7.4320000000000004</v>
      </c>
      <c r="E561" s="52">
        <v>79194</v>
      </c>
      <c r="F561" s="31"/>
      <c r="G561" s="31">
        <v>1.22</v>
      </c>
      <c r="H561" s="31">
        <v>1.25</v>
      </c>
      <c r="I561" s="31">
        <v>1.3</v>
      </c>
      <c r="J561" s="31"/>
      <c r="K561" s="52">
        <f t="shared" si="139"/>
        <v>157002.10499999998</v>
      </c>
      <c r="L561" s="52">
        <f t="shared" si="158"/>
        <v>826779.81749999989</v>
      </c>
    </row>
    <row r="562" spans="1:12" ht="30" customHeight="1" x14ac:dyDescent="0.2">
      <c r="A562" s="27" t="s">
        <v>3021</v>
      </c>
      <c r="B562" s="27" t="s">
        <v>2623</v>
      </c>
      <c r="C562" s="27"/>
      <c r="D562" s="31">
        <f t="shared" si="159"/>
        <v>8.3490000000000002</v>
      </c>
      <c r="E562" s="52">
        <v>33421</v>
      </c>
      <c r="F562" s="31"/>
      <c r="G562" s="31">
        <v>1.22</v>
      </c>
      <c r="H562" s="31">
        <v>1.25</v>
      </c>
      <c r="I562" s="31">
        <v>1.3</v>
      </c>
      <c r="J562" s="31"/>
      <c r="K562" s="52">
        <f t="shared" si="139"/>
        <v>66257.132500000007</v>
      </c>
      <c r="L562" s="52">
        <f t="shared" si="158"/>
        <v>893036.95</v>
      </c>
    </row>
    <row r="563" spans="1:12" ht="30" customHeight="1" x14ac:dyDescent="0.2">
      <c r="A563" s="27" t="s">
        <v>3022</v>
      </c>
      <c r="B563" s="27" t="s">
        <v>3023</v>
      </c>
      <c r="C563" s="27"/>
      <c r="D563" s="31">
        <f t="shared" ref="D563:D564" si="160">D561+3.05</f>
        <v>10.481999999999999</v>
      </c>
      <c r="E563" s="52">
        <v>79194</v>
      </c>
      <c r="F563" s="31"/>
      <c r="G563" s="31">
        <v>1.22</v>
      </c>
      <c r="H563" s="31">
        <v>1.25</v>
      </c>
      <c r="I563" s="31">
        <v>1.3</v>
      </c>
      <c r="J563" s="31"/>
      <c r="K563" s="52">
        <f t="shared" si="139"/>
        <v>157002.10499999998</v>
      </c>
      <c r="L563" s="52">
        <f t="shared" si="158"/>
        <v>1050039.0549999999</v>
      </c>
    </row>
    <row r="564" spans="1:12" ht="30" customHeight="1" x14ac:dyDescent="0.2">
      <c r="A564" s="27" t="s">
        <v>3024</v>
      </c>
      <c r="B564" s="27" t="s">
        <v>3025</v>
      </c>
      <c r="C564" s="27"/>
      <c r="D564" s="31">
        <f t="shared" si="160"/>
        <v>11.399000000000001</v>
      </c>
      <c r="E564" s="52">
        <v>33421</v>
      </c>
      <c r="F564" s="31"/>
      <c r="G564" s="31">
        <v>1.22</v>
      </c>
      <c r="H564" s="31">
        <v>1.25</v>
      </c>
      <c r="I564" s="31">
        <v>1.3</v>
      </c>
      <c r="J564" s="31"/>
      <c r="K564" s="52">
        <f t="shared" si="139"/>
        <v>66257.132500000007</v>
      </c>
      <c r="L564" s="52">
        <f t="shared" si="158"/>
        <v>1116296.1875</v>
      </c>
    </row>
    <row r="565" spans="1:12" ht="30" customHeight="1" x14ac:dyDescent="0.2">
      <c r="A565" s="27" t="s">
        <v>3026</v>
      </c>
      <c r="B565" s="27" t="s">
        <v>2530</v>
      </c>
      <c r="C565" s="27"/>
      <c r="D565" s="31">
        <f t="shared" ref="D565:D570" si="161">D563+1.733</f>
        <v>12.215</v>
      </c>
      <c r="E565" s="52">
        <v>79194</v>
      </c>
      <c r="F565" s="31"/>
      <c r="G565" s="31">
        <v>1.22</v>
      </c>
      <c r="H565" s="31">
        <v>1.25</v>
      </c>
      <c r="I565" s="31">
        <v>1.3</v>
      </c>
      <c r="J565" s="31"/>
      <c r="K565" s="52">
        <f t="shared" si="139"/>
        <v>157002.10499999998</v>
      </c>
      <c r="L565" s="52">
        <f t="shared" si="158"/>
        <v>1273298.2925</v>
      </c>
    </row>
    <row r="566" spans="1:12" ht="30" customHeight="1" x14ac:dyDescent="0.2">
      <c r="A566" s="27" t="s">
        <v>3027</v>
      </c>
      <c r="B566" s="27" t="s">
        <v>2627</v>
      </c>
      <c r="C566" s="27"/>
      <c r="D566" s="31">
        <f t="shared" si="161"/>
        <v>13.132000000000001</v>
      </c>
      <c r="E566" s="52">
        <v>33421</v>
      </c>
      <c r="F566" s="31"/>
      <c r="G566" s="31">
        <v>1.22</v>
      </c>
      <c r="H566" s="31">
        <v>1.25</v>
      </c>
      <c r="I566" s="31">
        <v>1.3</v>
      </c>
      <c r="J566" s="31"/>
      <c r="K566" s="52">
        <f t="shared" si="139"/>
        <v>66257.132500000007</v>
      </c>
      <c r="L566" s="52">
        <f t="shared" si="158"/>
        <v>1339555.425</v>
      </c>
    </row>
    <row r="567" spans="1:12" ht="30" customHeight="1" x14ac:dyDescent="0.2">
      <c r="A567" s="27" t="s">
        <v>3028</v>
      </c>
      <c r="B567" s="27" t="s">
        <v>2532</v>
      </c>
      <c r="C567" s="27"/>
      <c r="D567" s="31">
        <f t="shared" si="161"/>
        <v>13.948</v>
      </c>
      <c r="E567" s="52">
        <v>79194</v>
      </c>
      <c r="F567" s="31"/>
      <c r="G567" s="31">
        <v>1.22</v>
      </c>
      <c r="H567" s="31">
        <v>1.25</v>
      </c>
      <c r="I567" s="31">
        <v>1.3</v>
      </c>
      <c r="J567" s="31"/>
      <c r="K567" s="52">
        <f t="shared" si="139"/>
        <v>157002.10499999998</v>
      </c>
      <c r="L567" s="52">
        <f t="shared" si="158"/>
        <v>1496557.53</v>
      </c>
    </row>
    <row r="568" spans="1:12" ht="30" customHeight="1" x14ac:dyDescent="0.2">
      <c r="A568" s="27" t="s">
        <v>3029</v>
      </c>
      <c r="B568" s="27" t="s">
        <v>2629</v>
      </c>
      <c r="C568" s="27"/>
      <c r="D568" s="31">
        <f t="shared" si="161"/>
        <v>14.865000000000002</v>
      </c>
      <c r="E568" s="52">
        <v>33421</v>
      </c>
      <c r="F568" s="31"/>
      <c r="G568" s="31">
        <v>1.22</v>
      </c>
      <c r="H568" s="31">
        <v>1.25</v>
      </c>
      <c r="I568" s="31">
        <v>1.3</v>
      </c>
      <c r="J568" s="31"/>
      <c r="K568" s="52">
        <f t="shared" si="139"/>
        <v>66257.132500000007</v>
      </c>
      <c r="L568" s="52">
        <f t="shared" si="158"/>
        <v>1562814.6625000001</v>
      </c>
    </row>
    <row r="569" spans="1:12" ht="30" customHeight="1" x14ac:dyDescent="0.2">
      <c r="A569" s="27" t="s">
        <v>3030</v>
      </c>
      <c r="B569" s="27" t="s">
        <v>2534</v>
      </c>
      <c r="C569" s="27"/>
      <c r="D569" s="31">
        <f t="shared" si="161"/>
        <v>15.681000000000001</v>
      </c>
      <c r="E569" s="52">
        <v>79194</v>
      </c>
      <c r="F569" s="31"/>
      <c r="G569" s="31">
        <v>1.22</v>
      </c>
      <c r="H569" s="31">
        <v>1.25</v>
      </c>
      <c r="I569" s="31">
        <v>1.3</v>
      </c>
      <c r="J569" s="31"/>
      <c r="K569" s="52">
        <f t="shared" si="139"/>
        <v>157002.10499999998</v>
      </c>
      <c r="L569" s="52">
        <f t="shared" si="158"/>
        <v>1719816.7675000001</v>
      </c>
    </row>
    <row r="570" spans="1:12" ht="30" customHeight="1" x14ac:dyDescent="0.2">
      <c r="A570" s="27" t="s">
        <v>3031</v>
      </c>
      <c r="B570" s="27" t="s">
        <v>2631</v>
      </c>
      <c r="C570" s="27"/>
      <c r="D570" s="31">
        <f t="shared" si="161"/>
        <v>16.598000000000003</v>
      </c>
      <c r="E570" s="52">
        <v>33421</v>
      </c>
      <c r="F570" s="31"/>
      <c r="G570" s="31">
        <v>1.22</v>
      </c>
      <c r="H570" s="31">
        <v>1.25</v>
      </c>
      <c r="I570" s="31">
        <v>1.3</v>
      </c>
      <c r="J570" s="31"/>
      <c r="K570" s="52">
        <f t="shared" si="139"/>
        <v>66257.132500000007</v>
      </c>
      <c r="L570" s="52">
        <f t="shared" si="158"/>
        <v>1786073.9000000001</v>
      </c>
    </row>
    <row r="571" spans="1:12" ht="30" customHeight="1" x14ac:dyDescent="0.2">
      <c r="A571" s="27" t="s">
        <v>3032</v>
      </c>
      <c r="B571" s="27" t="s">
        <v>3033</v>
      </c>
      <c r="C571" s="27"/>
      <c r="D571" s="31">
        <v>0.216</v>
      </c>
      <c r="E571" s="52">
        <v>217355</v>
      </c>
      <c r="F571" s="31"/>
      <c r="G571" s="31">
        <v>1.22</v>
      </c>
      <c r="H571" s="31">
        <v>1.25</v>
      </c>
      <c r="I571" s="31">
        <v>1.3</v>
      </c>
      <c r="J571" s="31"/>
      <c r="K571" s="52">
        <f t="shared" si="139"/>
        <v>430906.28750000003</v>
      </c>
      <c r="L571" s="52">
        <f>K571</f>
        <v>430906.28750000003</v>
      </c>
    </row>
    <row r="572" spans="1:12" ht="30" customHeight="1" x14ac:dyDescent="0.2">
      <c r="A572" s="27" t="s">
        <v>3034</v>
      </c>
      <c r="B572" s="27" t="s">
        <v>3035</v>
      </c>
      <c r="C572" s="27"/>
      <c r="D572" s="31">
        <f t="shared" ref="D572:D573" si="162">D571+1.05</f>
        <v>1.266</v>
      </c>
      <c r="E572" s="52">
        <v>74154</v>
      </c>
      <c r="F572" s="31"/>
      <c r="G572" s="31">
        <v>1.22</v>
      </c>
      <c r="H572" s="31">
        <v>1.25</v>
      </c>
      <c r="I572" s="31">
        <v>1.3</v>
      </c>
      <c r="J572" s="31"/>
      <c r="K572" s="52">
        <f t="shared" si="139"/>
        <v>147010.30500000002</v>
      </c>
      <c r="L572" s="52">
        <f t="shared" ref="L572:L578" si="163">K572+L571</f>
        <v>577916.59250000003</v>
      </c>
    </row>
    <row r="573" spans="1:12" ht="30" customHeight="1" x14ac:dyDescent="0.2">
      <c r="A573" s="27" t="s">
        <v>3036</v>
      </c>
      <c r="B573" s="27" t="s">
        <v>3037</v>
      </c>
      <c r="C573" s="27"/>
      <c r="D573" s="31">
        <f t="shared" si="162"/>
        <v>2.3159999999999998</v>
      </c>
      <c r="E573" s="52">
        <v>74154</v>
      </c>
      <c r="F573" s="31"/>
      <c r="G573" s="31">
        <v>1.22</v>
      </c>
      <c r="H573" s="31">
        <v>1.25</v>
      </c>
      <c r="I573" s="31">
        <v>1.3</v>
      </c>
      <c r="J573" s="31"/>
      <c r="K573" s="52">
        <f t="shared" si="139"/>
        <v>147010.30500000002</v>
      </c>
      <c r="L573" s="52">
        <f t="shared" si="163"/>
        <v>724926.89750000008</v>
      </c>
    </row>
    <row r="574" spans="1:12" ht="30" customHeight="1" x14ac:dyDescent="0.2">
      <c r="A574" s="27" t="s">
        <v>3038</v>
      </c>
      <c r="B574" s="27" t="s">
        <v>3039</v>
      </c>
      <c r="C574" s="27"/>
      <c r="D574" s="31">
        <f t="shared" ref="D574:D575" si="164">D573+2.267</f>
        <v>4.5830000000000002</v>
      </c>
      <c r="E574" s="52">
        <v>74154</v>
      </c>
      <c r="F574" s="31"/>
      <c r="G574" s="31">
        <v>1.22</v>
      </c>
      <c r="H574" s="31">
        <v>1.25</v>
      </c>
      <c r="I574" s="31">
        <v>1.3</v>
      </c>
      <c r="J574" s="31"/>
      <c r="K574" s="52">
        <f t="shared" si="139"/>
        <v>147010.30500000002</v>
      </c>
      <c r="L574" s="52">
        <f t="shared" si="163"/>
        <v>871937.20250000013</v>
      </c>
    </row>
    <row r="575" spans="1:12" ht="30" customHeight="1" x14ac:dyDescent="0.2">
      <c r="A575" s="27" t="s">
        <v>3040</v>
      </c>
      <c r="B575" s="27" t="s">
        <v>3041</v>
      </c>
      <c r="C575" s="27"/>
      <c r="D575" s="31">
        <f t="shared" si="164"/>
        <v>6.85</v>
      </c>
      <c r="E575" s="52">
        <v>74154</v>
      </c>
      <c r="F575" s="31"/>
      <c r="G575" s="31">
        <v>1.22</v>
      </c>
      <c r="H575" s="31">
        <v>1.25</v>
      </c>
      <c r="I575" s="31">
        <v>1.3</v>
      </c>
      <c r="J575" s="31"/>
      <c r="K575" s="52">
        <f t="shared" si="139"/>
        <v>147010.30500000002</v>
      </c>
      <c r="L575" s="52">
        <f t="shared" si="163"/>
        <v>1018947.5075000002</v>
      </c>
    </row>
    <row r="576" spans="1:12" ht="30" customHeight="1" x14ac:dyDescent="0.2">
      <c r="A576" s="27" t="s">
        <v>3042</v>
      </c>
      <c r="B576" s="27" t="s">
        <v>3043</v>
      </c>
      <c r="C576" s="27"/>
      <c r="D576" s="31">
        <f t="shared" ref="D576:D577" si="165">D575+1.05</f>
        <v>7.8999999999999995</v>
      </c>
      <c r="E576" s="52">
        <v>74154</v>
      </c>
      <c r="F576" s="31"/>
      <c r="G576" s="31">
        <v>1.22</v>
      </c>
      <c r="H576" s="31">
        <v>1.25</v>
      </c>
      <c r="I576" s="31">
        <v>1.3</v>
      </c>
      <c r="J576" s="31"/>
      <c r="K576" s="52">
        <f t="shared" si="139"/>
        <v>147010.30500000002</v>
      </c>
      <c r="L576" s="52">
        <f t="shared" si="163"/>
        <v>1165957.8125000002</v>
      </c>
    </row>
    <row r="577" spans="1:12" ht="30" customHeight="1" x14ac:dyDescent="0.2">
      <c r="A577" s="27" t="s">
        <v>3044</v>
      </c>
      <c r="B577" s="27" t="s">
        <v>3045</v>
      </c>
      <c r="C577" s="27"/>
      <c r="D577" s="31">
        <f t="shared" si="165"/>
        <v>8.9499999999999993</v>
      </c>
      <c r="E577" s="52">
        <v>74154</v>
      </c>
      <c r="F577" s="31"/>
      <c r="G577" s="31">
        <v>1.22</v>
      </c>
      <c r="H577" s="31">
        <v>1.25</v>
      </c>
      <c r="I577" s="31">
        <v>1.3</v>
      </c>
      <c r="J577" s="31"/>
      <c r="K577" s="52">
        <f t="shared" si="139"/>
        <v>147010.30500000002</v>
      </c>
      <c r="L577" s="52">
        <f t="shared" si="163"/>
        <v>1312968.1175000002</v>
      </c>
    </row>
    <row r="578" spans="1:12" ht="30" customHeight="1" x14ac:dyDescent="0.2">
      <c r="A578" s="27" t="s">
        <v>3046</v>
      </c>
      <c r="B578" s="27" t="s">
        <v>3047</v>
      </c>
      <c r="C578" s="27"/>
      <c r="D578" s="31">
        <f>D577+2.267</f>
        <v>11.216999999999999</v>
      </c>
      <c r="E578" s="52">
        <v>74154</v>
      </c>
      <c r="F578" s="31"/>
      <c r="G578" s="31">
        <v>1.22</v>
      </c>
      <c r="H578" s="31">
        <v>1.25</v>
      </c>
      <c r="I578" s="31">
        <v>1.3</v>
      </c>
      <c r="J578" s="31"/>
      <c r="K578" s="52">
        <f t="shared" si="139"/>
        <v>147010.30500000002</v>
      </c>
      <c r="L578" s="52">
        <f t="shared" si="163"/>
        <v>1459978.4225000001</v>
      </c>
    </row>
    <row r="579" spans="1:12" ht="30" customHeight="1" x14ac:dyDescent="0.2">
      <c r="A579" s="27" t="s">
        <v>3048</v>
      </c>
      <c r="B579" s="27" t="s">
        <v>2426</v>
      </c>
      <c r="C579" s="27"/>
      <c r="D579" s="31">
        <v>0.58299999999999996</v>
      </c>
      <c r="E579" s="52">
        <f t="shared" ref="E579:E599" si="166">25917+25917*1.15</f>
        <v>55721.55</v>
      </c>
      <c r="F579" s="31">
        <v>1.4</v>
      </c>
      <c r="G579" s="31">
        <f t="shared" ref="G579:G599" si="167">(25917*1.4*1.1+25917*1.15*1.4*1.17)/F579/E579</f>
        <v>1.1374418604651162</v>
      </c>
      <c r="H579" s="31">
        <v>1.25</v>
      </c>
      <c r="I579" s="31">
        <v>1.3</v>
      </c>
      <c r="J579" s="31">
        <v>1.0780000000000001</v>
      </c>
      <c r="K579" s="52">
        <f t="shared" si="139"/>
        <v>155436.338632575</v>
      </c>
      <c r="L579" s="52">
        <f>K579</f>
        <v>155436.338632575</v>
      </c>
    </row>
    <row r="580" spans="1:12" ht="30" customHeight="1" x14ac:dyDescent="0.2">
      <c r="A580" s="27" t="s">
        <v>3049</v>
      </c>
      <c r="B580" s="27" t="s">
        <v>2428</v>
      </c>
      <c r="C580" s="27"/>
      <c r="D580" s="31">
        <f t="shared" ref="D580:D584" si="168">D579+1.083</f>
        <v>1.6659999999999999</v>
      </c>
      <c r="E580" s="52">
        <f t="shared" si="166"/>
        <v>55721.55</v>
      </c>
      <c r="F580" s="31">
        <v>1.4</v>
      </c>
      <c r="G580" s="31">
        <f t="shared" si="167"/>
        <v>1.1374418604651162</v>
      </c>
      <c r="H580" s="31">
        <v>1.25</v>
      </c>
      <c r="I580" s="31">
        <v>1.3</v>
      </c>
      <c r="J580" s="31">
        <v>1.0780000000000001</v>
      </c>
      <c r="K580" s="52">
        <f t="shared" si="139"/>
        <v>155436.338632575</v>
      </c>
      <c r="L580" s="52">
        <f t="shared" ref="L580:L599" si="169">K580+L579</f>
        <v>310872.67726515001</v>
      </c>
    </row>
    <row r="581" spans="1:12" ht="30" customHeight="1" x14ac:dyDescent="0.2">
      <c r="A581" s="27" t="s">
        <v>3050</v>
      </c>
      <c r="B581" s="27" t="s">
        <v>2430</v>
      </c>
      <c r="C581" s="27"/>
      <c r="D581" s="31">
        <f t="shared" si="168"/>
        <v>2.7489999999999997</v>
      </c>
      <c r="E581" s="52">
        <f t="shared" si="166"/>
        <v>55721.55</v>
      </c>
      <c r="F581" s="31">
        <v>1.4</v>
      </c>
      <c r="G581" s="31">
        <f t="shared" si="167"/>
        <v>1.1374418604651162</v>
      </c>
      <c r="H581" s="31">
        <v>1.25</v>
      </c>
      <c r="I581" s="31">
        <v>1.3</v>
      </c>
      <c r="J581" s="31">
        <v>1.0780000000000001</v>
      </c>
      <c r="K581" s="52">
        <f t="shared" si="139"/>
        <v>155436.338632575</v>
      </c>
      <c r="L581" s="52">
        <f t="shared" si="169"/>
        <v>466309.01589772501</v>
      </c>
    </row>
    <row r="582" spans="1:12" ht="30" customHeight="1" x14ac:dyDescent="0.2">
      <c r="A582" s="27" t="s">
        <v>3051</v>
      </c>
      <c r="B582" s="27" t="s">
        <v>2432</v>
      </c>
      <c r="C582" s="27"/>
      <c r="D582" s="31">
        <f t="shared" si="168"/>
        <v>3.8319999999999999</v>
      </c>
      <c r="E582" s="52">
        <f t="shared" si="166"/>
        <v>55721.55</v>
      </c>
      <c r="F582" s="31">
        <v>1.4</v>
      </c>
      <c r="G582" s="31">
        <f t="shared" si="167"/>
        <v>1.1374418604651162</v>
      </c>
      <c r="H582" s="31">
        <v>1.25</v>
      </c>
      <c r="I582" s="31">
        <v>1.3</v>
      </c>
      <c r="J582" s="31">
        <v>1.0780000000000001</v>
      </c>
      <c r="K582" s="52">
        <f t="shared" si="139"/>
        <v>155436.338632575</v>
      </c>
      <c r="L582" s="52">
        <f t="shared" si="169"/>
        <v>621745.35453030001</v>
      </c>
    </row>
    <row r="583" spans="1:12" ht="30" customHeight="1" x14ac:dyDescent="0.2">
      <c r="A583" s="27" t="s">
        <v>3052</v>
      </c>
      <c r="B583" s="27" t="s">
        <v>2924</v>
      </c>
      <c r="C583" s="27"/>
      <c r="D583" s="31">
        <f t="shared" si="168"/>
        <v>4.915</v>
      </c>
      <c r="E583" s="52">
        <f t="shared" si="166"/>
        <v>55721.55</v>
      </c>
      <c r="F583" s="31">
        <v>1.4</v>
      </c>
      <c r="G583" s="31">
        <f t="shared" si="167"/>
        <v>1.1374418604651162</v>
      </c>
      <c r="H583" s="31">
        <v>1.25</v>
      </c>
      <c r="I583" s="31">
        <v>1.3</v>
      </c>
      <c r="J583" s="31">
        <v>1.0780000000000001</v>
      </c>
      <c r="K583" s="52">
        <f t="shared" si="139"/>
        <v>155436.338632575</v>
      </c>
      <c r="L583" s="52">
        <f t="shared" si="169"/>
        <v>777181.69316287502</v>
      </c>
    </row>
    <row r="584" spans="1:12" ht="30" customHeight="1" x14ac:dyDescent="0.2">
      <c r="A584" s="27" t="s">
        <v>3053</v>
      </c>
      <c r="B584" s="27" t="s">
        <v>2436</v>
      </c>
      <c r="C584" s="27"/>
      <c r="D584" s="31">
        <f t="shared" si="168"/>
        <v>5.9980000000000002</v>
      </c>
      <c r="E584" s="52">
        <f t="shared" si="166"/>
        <v>55721.55</v>
      </c>
      <c r="F584" s="31">
        <v>1.4</v>
      </c>
      <c r="G584" s="31">
        <f t="shared" si="167"/>
        <v>1.1374418604651162</v>
      </c>
      <c r="H584" s="31">
        <v>1.25</v>
      </c>
      <c r="I584" s="31">
        <v>1.3</v>
      </c>
      <c r="J584" s="31">
        <v>1.0780000000000001</v>
      </c>
      <c r="K584" s="52">
        <f t="shared" si="139"/>
        <v>155436.338632575</v>
      </c>
      <c r="L584" s="52">
        <f t="shared" si="169"/>
        <v>932618.03179545002</v>
      </c>
    </row>
    <row r="585" spans="1:12" ht="30" customHeight="1" x14ac:dyDescent="0.2">
      <c r="A585" s="27" t="s">
        <v>3054</v>
      </c>
      <c r="B585" s="27" t="s">
        <v>3055</v>
      </c>
      <c r="C585" s="27"/>
      <c r="D585" s="31">
        <f>D584+1.5</f>
        <v>7.4980000000000002</v>
      </c>
      <c r="E585" s="52">
        <f t="shared" si="166"/>
        <v>55721.55</v>
      </c>
      <c r="F585" s="31">
        <v>1.4</v>
      </c>
      <c r="G585" s="31">
        <f t="shared" si="167"/>
        <v>1.1374418604651162</v>
      </c>
      <c r="H585" s="31">
        <v>1.25</v>
      </c>
      <c r="I585" s="31">
        <v>1.3</v>
      </c>
      <c r="J585" s="31">
        <v>1.0780000000000001</v>
      </c>
      <c r="K585" s="52">
        <f t="shared" si="139"/>
        <v>155436.338632575</v>
      </c>
      <c r="L585" s="52">
        <f t="shared" si="169"/>
        <v>1088054.370428025</v>
      </c>
    </row>
    <row r="586" spans="1:12" ht="30" customHeight="1" x14ac:dyDescent="0.2">
      <c r="A586" s="27" t="s">
        <v>3056</v>
      </c>
      <c r="B586" s="27" t="s">
        <v>2440</v>
      </c>
      <c r="C586" s="27"/>
      <c r="D586" s="31">
        <f t="shared" ref="D586:D590" si="170">D585+1.083</f>
        <v>8.5809999999999995</v>
      </c>
      <c r="E586" s="52">
        <f t="shared" si="166"/>
        <v>55721.55</v>
      </c>
      <c r="F586" s="31">
        <v>1.4</v>
      </c>
      <c r="G586" s="31">
        <f t="shared" si="167"/>
        <v>1.1374418604651162</v>
      </c>
      <c r="H586" s="31">
        <v>1.25</v>
      </c>
      <c r="I586" s="31">
        <v>1.3</v>
      </c>
      <c r="J586" s="31">
        <v>1.0780000000000001</v>
      </c>
      <c r="K586" s="52">
        <f t="shared" si="139"/>
        <v>155436.338632575</v>
      </c>
      <c r="L586" s="52">
        <f t="shared" si="169"/>
        <v>1243490.7090606</v>
      </c>
    </row>
    <row r="587" spans="1:12" ht="30" customHeight="1" x14ac:dyDescent="0.2">
      <c r="A587" s="27" t="s">
        <v>3057</v>
      </c>
      <c r="B587" s="27" t="s">
        <v>2930</v>
      </c>
      <c r="C587" s="27"/>
      <c r="D587" s="31">
        <f t="shared" si="170"/>
        <v>9.6639999999999997</v>
      </c>
      <c r="E587" s="52">
        <f t="shared" si="166"/>
        <v>55721.55</v>
      </c>
      <c r="F587" s="31">
        <v>1.4</v>
      </c>
      <c r="G587" s="31">
        <f t="shared" si="167"/>
        <v>1.1374418604651162</v>
      </c>
      <c r="H587" s="31">
        <v>1.25</v>
      </c>
      <c r="I587" s="31">
        <v>1.3</v>
      </c>
      <c r="J587" s="31">
        <v>1.0780000000000001</v>
      </c>
      <c r="K587" s="52">
        <f t="shared" si="139"/>
        <v>155436.338632575</v>
      </c>
      <c r="L587" s="52">
        <f t="shared" si="169"/>
        <v>1398927.047693175</v>
      </c>
    </row>
    <row r="588" spans="1:12" ht="30" customHeight="1" x14ac:dyDescent="0.2">
      <c r="A588" s="27" t="s">
        <v>3058</v>
      </c>
      <c r="B588" s="27" t="s">
        <v>2444</v>
      </c>
      <c r="C588" s="27"/>
      <c r="D588" s="31">
        <f t="shared" si="170"/>
        <v>10.747</v>
      </c>
      <c r="E588" s="52">
        <f t="shared" si="166"/>
        <v>55721.55</v>
      </c>
      <c r="F588" s="31">
        <v>1.4</v>
      </c>
      <c r="G588" s="31">
        <f t="shared" si="167"/>
        <v>1.1374418604651162</v>
      </c>
      <c r="H588" s="31">
        <v>1.25</v>
      </c>
      <c r="I588" s="31">
        <v>1.3</v>
      </c>
      <c r="J588" s="31">
        <v>1.0780000000000001</v>
      </c>
      <c r="K588" s="52">
        <f t="shared" si="139"/>
        <v>155436.338632575</v>
      </c>
      <c r="L588" s="52">
        <f t="shared" si="169"/>
        <v>1554363.38632575</v>
      </c>
    </row>
    <row r="589" spans="1:12" ht="30" customHeight="1" x14ac:dyDescent="0.2">
      <c r="A589" s="27" t="s">
        <v>3059</v>
      </c>
      <c r="B589" s="27" t="s">
        <v>2446</v>
      </c>
      <c r="C589" s="27"/>
      <c r="D589" s="31">
        <f t="shared" si="170"/>
        <v>11.83</v>
      </c>
      <c r="E589" s="52">
        <f t="shared" si="166"/>
        <v>55721.55</v>
      </c>
      <c r="F589" s="31">
        <v>1.4</v>
      </c>
      <c r="G589" s="31">
        <f t="shared" si="167"/>
        <v>1.1374418604651162</v>
      </c>
      <c r="H589" s="31">
        <v>1.25</v>
      </c>
      <c r="I589" s="31">
        <v>1.3</v>
      </c>
      <c r="J589" s="31">
        <v>1.0780000000000001</v>
      </c>
      <c r="K589" s="52">
        <f t="shared" si="139"/>
        <v>155436.338632575</v>
      </c>
      <c r="L589" s="52">
        <f t="shared" si="169"/>
        <v>1709799.724958325</v>
      </c>
    </row>
    <row r="590" spans="1:12" ht="30" customHeight="1" x14ac:dyDescent="0.2">
      <c r="A590" s="27" t="s">
        <v>3060</v>
      </c>
      <c r="B590" s="27" t="s">
        <v>2448</v>
      </c>
      <c r="C590" s="27"/>
      <c r="D590" s="31">
        <f t="shared" si="170"/>
        <v>12.913</v>
      </c>
      <c r="E590" s="52">
        <f t="shared" si="166"/>
        <v>55721.55</v>
      </c>
      <c r="F590" s="31">
        <v>1.4</v>
      </c>
      <c r="G590" s="31">
        <f t="shared" si="167"/>
        <v>1.1374418604651162</v>
      </c>
      <c r="H590" s="31">
        <v>1.25</v>
      </c>
      <c r="I590" s="31">
        <v>1.3</v>
      </c>
      <c r="J590" s="31">
        <v>1.0780000000000001</v>
      </c>
      <c r="K590" s="52">
        <f t="shared" si="139"/>
        <v>155436.338632575</v>
      </c>
      <c r="L590" s="52">
        <f t="shared" si="169"/>
        <v>1865236.0635909</v>
      </c>
    </row>
    <row r="591" spans="1:12" ht="30" customHeight="1" x14ac:dyDescent="0.2">
      <c r="A591" s="27" t="s">
        <v>3061</v>
      </c>
      <c r="B591" s="27" t="s">
        <v>2450</v>
      </c>
      <c r="C591" s="27"/>
      <c r="D591" s="31">
        <f>D590+1.5</f>
        <v>14.413</v>
      </c>
      <c r="E591" s="52">
        <f t="shared" si="166"/>
        <v>55721.55</v>
      </c>
      <c r="F591" s="31">
        <v>1.4</v>
      </c>
      <c r="G591" s="31">
        <f t="shared" si="167"/>
        <v>1.1374418604651162</v>
      </c>
      <c r="H591" s="31">
        <v>1.25</v>
      </c>
      <c r="I591" s="31">
        <v>1.3</v>
      </c>
      <c r="J591" s="31">
        <v>1.0780000000000001</v>
      </c>
      <c r="K591" s="52">
        <f t="shared" si="139"/>
        <v>155436.338632575</v>
      </c>
      <c r="L591" s="52">
        <f t="shared" si="169"/>
        <v>2020672.402223475</v>
      </c>
    </row>
    <row r="592" spans="1:12" ht="30" customHeight="1" x14ac:dyDescent="0.2">
      <c r="A592" s="27" t="s">
        <v>3062</v>
      </c>
      <c r="B592" s="27" t="s">
        <v>2452</v>
      </c>
      <c r="C592" s="27"/>
      <c r="D592" s="31">
        <f t="shared" ref="D592:D596" si="171">D591+1.083</f>
        <v>15.496</v>
      </c>
      <c r="E592" s="52">
        <f t="shared" si="166"/>
        <v>55721.55</v>
      </c>
      <c r="F592" s="31">
        <v>1.4</v>
      </c>
      <c r="G592" s="31">
        <f t="shared" si="167"/>
        <v>1.1374418604651162</v>
      </c>
      <c r="H592" s="31">
        <v>1.25</v>
      </c>
      <c r="I592" s="31">
        <v>1.3</v>
      </c>
      <c r="J592" s="31">
        <v>1.0780000000000001</v>
      </c>
      <c r="K592" s="52">
        <f t="shared" si="139"/>
        <v>155436.338632575</v>
      </c>
      <c r="L592" s="52">
        <f t="shared" si="169"/>
        <v>2176108.74085605</v>
      </c>
    </row>
    <row r="593" spans="1:12" ht="30" customHeight="1" x14ac:dyDescent="0.2">
      <c r="A593" s="27" t="s">
        <v>3063</v>
      </c>
      <c r="B593" s="27" t="s">
        <v>2454</v>
      </c>
      <c r="C593" s="27"/>
      <c r="D593" s="31">
        <f t="shared" si="171"/>
        <v>16.579000000000001</v>
      </c>
      <c r="E593" s="52">
        <f t="shared" si="166"/>
        <v>55721.55</v>
      </c>
      <c r="F593" s="31">
        <v>1.4</v>
      </c>
      <c r="G593" s="31">
        <f t="shared" si="167"/>
        <v>1.1374418604651162</v>
      </c>
      <c r="H593" s="31">
        <v>1.25</v>
      </c>
      <c r="I593" s="31">
        <v>1.3</v>
      </c>
      <c r="J593" s="31">
        <v>1.0780000000000001</v>
      </c>
      <c r="K593" s="52">
        <f t="shared" si="139"/>
        <v>155436.338632575</v>
      </c>
      <c r="L593" s="52">
        <f t="shared" si="169"/>
        <v>2331545.0794886248</v>
      </c>
    </row>
    <row r="594" spans="1:12" ht="30" customHeight="1" x14ac:dyDescent="0.2">
      <c r="A594" s="27" t="s">
        <v>3064</v>
      </c>
      <c r="B594" s="27" t="s">
        <v>2456</v>
      </c>
      <c r="C594" s="27"/>
      <c r="D594" s="31">
        <f t="shared" si="171"/>
        <v>17.661999999999999</v>
      </c>
      <c r="E594" s="52">
        <f t="shared" si="166"/>
        <v>55721.55</v>
      </c>
      <c r="F594" s="31">
        <v>1.4</v>
      </c>
      <c r="G594" s="31">
        <f t="shared" si="167"/>
        <v>1.1374418604651162</v>
      </c>
      <c r="H594" s="31">
        <v>1.25</v>
      </c>
      <c r="I594" s="31">
        <v>1.3</v>
      </c>
      <c r="J594" s="31">
        <v>1.0780000000000001</v>
      </c>
      <c r="K594" s="52">
        <f t="shared" si="139"/>
        <v>155436.338632575</v>
      </c>
      <c r="L594" s="52">
        <f t="shared" si="169"/>
        <v>2486981.4181212001</v>
      </c>
    </row>
    <row r="595" spans="1:12" ht="30" customHeight="1" x14ac:dyDescent="0.2">
      <c r="A595" s="27" t="s">
        <v>3065</v>
      </c>
      <c r="B595" s="27" t="s">
        <v>2941</v>
      </c>
      <c r="C595" s="27"/>
      <c r="D595" s="31">
        <f t="shared" si="171"/>
        <v>18.744999999999997</v>
      </c>
      <c r="E595" s="52">
        <f t="shared" si="166"/>
        <v>55721.55</v>
      </c>
      <c r="F595" s="31">
        <v>1.4</v>
      </c>
      <c r="G595" s="31">
        <f t="shared" si="167"/>
        <v>1.1374418604651162</v>
      </c>
      <c r="H595" s="31">
        <v>1.25</v>
      </c>
      <c r="I595" s="31">
        <v>1.3</v>
      </c>
      <c r="J595" s="31">
        <v>1.0780000000000001</v>
      </c>
      <c r="K595" s="52">
        <f t="shared" si="139"/>
        <v>155436.338632575</v>
      </c>
      <c r="L595" s="52">
        <f t="shared" si="169"/>
        <v>2642417.7567537753</v>
      </c>
    </row>
    <row r="596" spans="1:12" ht="30" customHeight="1" x14ac:dyDescent="0.2">
      <c r="A596" s="27" t="s">
        <v>3066</v>
      </c>
      <c r="B596" s="27" t="s">
        <v>2460</v>
      </c>
      <c r="C596" s="27"/>
      <c r="D596" s="31">
        <f t="shared" si="171"/>
        <v>19.827999999999996</v>
      </c>
      <c r="E596" s="52">
        <f t="shared" si="166"/>
        <v>55721.55</v>
      </c>
      <c r="F596" s="31">
        <v>1.4</v>
      </c>
      <c r="G596" s="31">
        <f t="shared" si="167"/>
        <v>1.1374418604651162</v>
      </c>
      <c r="H596" s="31">
        <v>1.25</v>
      </c>
      <c r="I596" s="31">
        <v>1.3</v>
      </c>
      <c r="J596" s="31">
        <v>1.0780000000000001</v>
      </c>
      <c r="K596" s="52">
        <f t="shared" si="139"/>
        <v>155436.338632575</v>
      </c>
      <c r="L596" s="52">
        <f t="shared" si="169"/>
        <v>2797854.0953863505</v>
      </c>
    </row>
    <row r="597" spans="1:12" ht="30" customHeight="1" x14ac:dyDescent="0.2">
      <c r="A597" s="27" t="s">
        <v>3067</v>
      </c>
      <c r="B597" s="27" t="s">
        <v>3068</v>
      </c>
      <c r="C597" s="27"/>
      <c r="D597" s="31">
        <f>D596+1.5</f>
        <v>21.327999999999996</v>
      </c>
      <c r="E597" s="52">
        <f t="shared" si="166"/>
        <v>55721.55</v>
      </c>
      <c r="F597" s="31">
        <v>1.4</v>
      </c>
      <c r="G597" s="31">
        <f t="shared" si="167"/>
        <v>1.1374418604651162</v>
      </c>
      <c r="H597" s="31">
        <v>1.25</v>
      </c>
      <c r="I597" s="31">
        <v>1.3</v>
      </c>
      <c r="J597" s="31">
        <v>1.0780000000000001</v>
      </c>
      <c r="K597" s="52">
        <f t="shared" si="139"/>
        <v>155436.338632575</v>
      </c>
      <c r="L597" s="52">
        <f t="shared" si="169"/>
        <v>2953290.4340189258</v>
      </c>
    </row>
    <row r="598" spans="1:12" ht="30" customHeight="1" x14ac:dyDescent="0.2">
      <c r="A598" s="27" t="s">
        <v>3069</v>
      </c>
      <c r="B598" s="27" t="s">
        <v>2464</v>
      </c>
      <c r="C598" s="27"/>
      <c r="D598" s="31">
        <f t="shared" ref="D598:D599" si="172">D597+1.083</f>
        <v>22.410999999999994</v>
      </c>
      <c r="E598" s="52">
        <f t="shared" si="166"/>
        <v>55721.55</v>
      </c>
      <c r="F598" s="31">
        <v>1.4</v>
      </c>
      <c r="G598" s="31">
        <f t="shared" si="167"/>
        <v>1.1374418604651162</v>
      </c>
      <c r="H598" s="31">
        <v>1.25</v>
      </c>
      <c r="I598" s="31">
        <v>1.3</v>
      </c>
      <c r="J598" s="31">
        <v>1.0780000000000001</v>
      </c>
      <c r="K598" s="52">
        <f t="shared" si="139"/>
        <v>155436.338632575</v>
      </c>
      <c r="L598" s="52">
        <f t="shared" si="169"/>
        <v>3108726.772651501</v>
      </c>
    </row>
    <row r="599" spans="1:12" ht="30" customHeight="1" x14ac:dyDescent="0.2">
      <c r="A599" s="27" t="s">
        <v>3070</v>
      </c>
      <c r="B599" s="27" t="s">
        <v>3071</v>
      </c>
      <c r="C599" s="27"/>
      <c r="D599" s="31">
        <f t="shared" si="172"/>
        <v>23.493999999999993</v>
      </c>
      <c r="E599" s="52">
        <f t="shared" si="166"/>
        <v>55721.55</v>
      </c>
      <c r="F599" s="31">
        <v>1.4</v>
      </c>
      <c r="G599" s="31">
        <f t="shared" si="167"/>
        <v>1.1374418604651162</v>
      </c>
      <c r="H599" s="31">
        <v>1.25</v>
      </c>
      <c r="I599" s="31">
        <v>1.3</v>
      </c>
      <c r="J599" s="31">
        <v>1.0780000000000001</v>
      </c>
      <c r="K599" s="52">
        <f t="shared" si="139"/>
        <v>155436.338632575</v>
      </c>
      <c r="L599" s="52">
        <f t="shared" si="169"/>
        <v>3264163.1112840762</v>
      </c>
    </row>
    <row r="600" spans="1:12" ht="30" customHeight="1" x14ac:dyDescent="0.2">
      <c r="A600" s="27" t="s">
        <v>3072</v>
      </c>
      <c r="B600" s="27" t="s">
        <v>2242</v>
      </c>
      <c r="C600" s="27"/>
      <c r="D600" s="31">
        <v>1.5</v>
      </c>
      <c r="E600" s="52">
        <v>33409</v>
      </c>
      <c r="F600" s="31">
        <v>1.35</v>
      </c>
      <c r="G600" s="31">
        <v>1.22</v>
      </c>
      <c r="H600" s="31">
        <v>1.25</v>
      </c>
      <c r="I600" s="31">
        <v>1.3</v>
      </c>
      <c r="J600" s="31">
        <v>1.0780000000000001</v>
      </c>
      <c r="K600" s="52">
        <f t="shared" si="139"/>
        <v>96389.383340250017</v>
      </c>
      <c r="L600" s="52">
        <f>K600</f>
        <v>96389.383340250017</v>
      </c>
    </row>
    <row r="601" spans="1:12" ht="30" customHeight="1" x14ac:dyDescent="0.2">
      <c r="A601" s="27" t="s">
        <v>3073</v>
      </c>
      <c r="B601" s="27" t="s">
        <v>2244</v>
      </c>
      <c r="C601" s="27"/>
      <c r="D601" s="31">
        <f t="shared" ref="D601:D609" si="173">D600+1.05</f>
        <v>2.5499999999999998</v>
      </c>
      <c r="E601" s="52">
        <v>33409</v>
      </c>
      <c r="F601" s="31">
        <v>1.35</v>
      </c>
      <c r="G601" s="31">
        <v>1.22</v>
      </c>
      <c r="H601" s="31">
        <v>1.25</v>
      </c>
      <c r="I601" s="31">
        <v>1.3</v>
      </c>
      <c r="J601" s="31">
        <v>1.0780000000000001</v>
      </c>
      <c r="K601" s="52">
        <f t="shared" si="139"/>
        <v>96389.383340250017</v>
      </c>
      <c r="L601" s="52">
        <f t="shared" ref="L601:L642" si="174">K601+L600</f>
        <v>192778.76668050003</v>
      </c>
    </row>
    <row r="602" spans="1:12" ht="30" customHeight="1" x14ac:dyDescent="0.2">
      <c r="A602" s="27" t="s">
        <v>3074</v>
      </c>
      <c r="B602" s="27" t="s">
        <v>2246</v>
      </c>
      <c r="C602" s="27"/>
      <c r="D602" s="31">
        <f t="shared" si="173"/>
        <v>3.5999999999999996</v>
      </c>
      <c r="E602" s="52">
        <v>33409</v>
      </c>
      <c r="F602" s="31">
        <v>1.35</v>
      </c>
      <c r="G602" s="31">
        <v>1.22</v>
      </c>
      <c r="H602" s="31">
        <v>1.25</v>
      </c>
      <c r="I602" s="31">
        <v>1.3</v>
      </c>
      <c r="J602" s="31">
        <v>1.0780000000000001</v>
      </c>
      <c r="K602" s="52">
        <f t="shared" si="139"/>
        <v>96389.383340250017</v>
      </c>
      <c r="L602" s="52">
        <f t="shared" si="174"/>
        <v>289168.15002075006</v>
      </c>
    </row>
    <row r="603" spans="1:12" ht="30" customHeight="1" x14ac:dyDescent="0.2">
      <c r="A603" s="27" t="s">
        <v>3075</v>
      </c>
      <c r="B603" s="27" t="s">
        <v>2248</v>
      </c>
      <c r="C603" s="27"/>
      <c r="D603" s="31">
        <f t="shared" si="173"/>
        <v>4.6499999999999995</v>
      </c>
      <c r="E603" s="52">
        <v>33409</v>
      </c>
      <c r="F603" s="31">
        <v>1.35</v>
      </c>
      <c r="G603" s="31">
        <v>1.22</v>
      </c>
      <c r="H603" s="31">
        <v>1.25</v>
      </c>
      <c r="I603" s="31">
        <v>1.3</v>
      </c>
      <c r="J603" s="31">
        <v>1.0780000000000001</v>
      </c>
      <c r="K603" s="52">
        <f t="shared" si="139"/>
        <v>96389.383340250017</v>
      </c>
      <c r="L603" s="52">
        <f t="shared" si="174"/>
        <v>385557.53336100007</v>
      </c>
    </row>
    <row r="604" spans="1:12" ht="30" customHeight="1" x14ac:dyDescent="0.2">
      <c r="A604" s="27" t="s">
        <v>3076</v>
      </c>
      <c r="B604" s="27" t="s">
        <v>2250</v>
      </c>
      <c r="C604" s="27"/>
      <c r="D604" s="31">
        <f t="shared" si="173"/>
        <v>5.6999999999999993</v>
      </c>
      <c r="E604" s="52">
        <v>33409</v>
      </c>
      <c r="F604" s="31">
        <v>1.35</v>
      </c>
      <c r="G604" s="31">
        <v>1.22</v>
      </c>
      <c r="H604" s="31">
        <v>1.25</v>
      </c>
      <c r="I604" s="31">
        <v>1.3</v>
      </c>
      <c r="J604" s="31">
        <v>1.0780000000000001</v>
      </c>
      <c r="K604" s="52">
        <f t="shared" si="139"/>
        <v>96389.383340250017</v>
      </c>
      <c r="L604" s="52">
        <f t="shared" si="174"/>
        <v>481946.91670125007</v>
      </c>
    </row>
    <row r="605" spans="1:12" ht="30" customHeight="1" x14ac:dyDescent="0.2">
      <c r="A605" s="27" t="s">
        <v>3077</v>
      </c>
      <c r="B605" s="27" t="s">
        <v>2291</v>
      </c>
      <c r="C605" s="27"/>
      <c r="D605" s="31">
        <f t="shared" si="173"/>
        <v>6.7499999999999991</v>
      </c>
      <c r="E605" s="52">
        <v>33409</v>
      </c>
      <c r="F605" s="31">
        <v>1.35</v>
      </c>
      <c r="G605" s="31">
        <v>1.22</v>
      </c>
      <c r="H605" s="31">
        <v>1.25</v>
      </c>
      <c r="I605" s="31">
        <v>1.3</v>
      </c>
      <c r="J605" s="31">
        <v>1.0780000000000001</v>
      </c>
      <c r="K605" s="52">
        <f t="shared" si="139"/>
        <v>96389.383340250017</v>
      </c>
      <c r="L605" s="52">
        <f t="shared" si="174"/>
        <v>578336.30004150013</v>
      </c>
    </row>
    <row r="606" spans="1:12" ht="30" customHeight="1" x14ac:dyDescent="0.2">
      <c r="A606" s="27" t="s">
        <v>3078</v>
      </c>
      <c r="B606" s="27" t="s">
        <v>2254</v>
      </c>
      <c r="C606" s="27"/>
      <c r="D606" s="31">
        <f t="shared" si="173"/>
        <v>7.7999999999999989</v>
      </c>
      <c r="E606" s="52">
        <v>33409</v>
      </c>
      <c r="F606" s="31">
        <v>1.35</v>
      </c>
      <c r="G606" s="31">
        <v>1.22</v>
      </c>
      <c r="H606" s="31">
        <v>1.25</v>
      </c>
      <c r="I606" s="31">
        <v>1.3</v>
      </c>
      <c r="J606" s="31">
        <v>1.0780000000000001</v>
      </c>
      <c r="K606" s="52">
        <f t="shared" si="139"/>
        <v>96389.383340250017</v>
      </c>
      <c r="L606" s="52">
        <f t="shared" si="174"/>
        <v>674725.68338175013</v>
      </c>
    </row>
    <row r="607" spans="1:12" ht="30" customHeight="1" x14ac:dyDescent="0.2">
      <c r="A607" s="27" t="s">
        <v>3079</v>
      </c>
      <c r="B607" s="27" t="s">
        <v>2256</v>
      </c>
      <c r="C607" s="27"/>
      <c r="D607" s="31">
        <f t="shared" si="173"/>
        <v>8.85</v>
      </c>
      <c r="E607" s="52">
        <v>33409</v>
      </c>
      <c r="F607" s="31">
        <v>1.35</v>
      </c>
      <c r="G607" s="31">
        <v>1.22</v>
      </c>
      <c r="H607" s="31">
        <v>1.25</v>
      </c>
      <c r="I607" s="31">
        <v>1.3</v>
      </c>
      <c r="J607" s="31">
        <v>1.0780000000000001</v>
      </c>
      <c r="K607" s="52">
        <f t="shared" si="139"/>
        <v>96389.383340250017</v>
      </c>
      <c r="L607" s="52">
        <f t="shared" si="174"/>
        <v>771115.06672200013</v>
      </c>
    </row>
    <row r="608" spans="1:12" ht="30" customHeight="1" x14ac:dyDescent="0.2">
      <c r="A608" s="27" t="s">
        <v>3080</v>
      </c>
      <c r="B608" s="27" t="s">
        <v>2258</v>
      </c>
      <c r="C608" s="27"/>
      <c r="D608" s="31">
        <f t="shared" si="173"/>
        <v>9.9</v>
      </c>
      <c r="E608" s="52">
        <v>33409</v>
      </c>
      <c r="F608" s="31">
        <v>1.35</v>
      </c>
      <c r="G608" s="31">
        <v>1.22</v>
      </c>
      <c r="H608" s="31">
        <v>1.25</v>
      </c>
      <c r="I608" s="31">
        <v>1.3</v>
      </c>
      <c r="J608" s="31">
        <v>1.0780000000000001</v>
      </c>
      <c r="K608" s="52">
        <f t="shared" si="139"/>
        <v>96389.383340250017</v>
      </c>
      <c r="L608" s="52">
        <f t="shared" si="174"/>
        <v>867504.45006225014</v>
      </c>
    </row>
    <row r="609" spans="1:12" ht="30" customHeight="1" x14ac:dyDescent="0.2">
      <c r="A609" s="27" t="s">
        <v>3081</v>
      </c>
      <c r="B609" s="27" t="s">
        <v>2260</v>
      </c>
      <c r="C609" s="27"/>
      <c r="D609" s="31">
        <f t="shared" si="173"/>
        <v>10.950000000000001</v>
      </c>
      <c r="E609" s="52">
        <v>33409</v>
      </c>
      <c r="F609" s="31">
        <v>1.35</v>
      </c>
      <c r="G609" s="31">
        <v>1.22</v>
      </c>
      <c r="H609" s="31">
        <v>1.25</v>
      </c>
      <c r="I609" s="31">
        <v>1.3</v>
      </c>
      <c r="J609" s="31">
        <v>1.0780000000000001</v>
      </c>
      <c r="K609" s="52">
        <f t="shared" si="139"/>
        <v>96389.383340250017</v>
      </c>
      <c r="L609" s="52">
        <f t="shared" si="174"/>
        <v>963893.83340250014</v>
      </c>
    </row>
    <row r="610" spans="1:12" ht="30" customHeight="1" x14ac:dyDescent="0.2">
      <c r="A610" s="27" t="s">
        <v>3082</v>
      </c>
      <c r="B610" s="27" t="s">
        <v>2262</v>
      </c>
      <c r="C610" s="27"/>
      <c r="D610" s="31">
        <f>D609+2.833</f>
        <v>13.783000000000001</v>
      </c>
      <c r="E610" s="52">
        <v>33409</v>
      </c>
      <c r="F610" s="31">
        <v>1.35</v>
      </c>
      <c r="G610" s="31">
        <v>1.22</v>
      </c>
      <c r="H610" s="31">
        <v>1.25</v>
      </c>
      <c r="I610" s="31">
        <v>1.3</v>
      </c>
      <c r="J610" s="31">
        <v>1.0780000000000001</v>
      </c>
      <c r="K610" s="52">
        <f t="shared" si="139"/>
        <v>96389.383340250017</v>
      </c>
      <c r="L610" s="52">
        <f t="shared" si="174"/>
        <v>1060283.2167427503</v>
      </c>
    </row>
    <row r="611" spans="1:12" ht="30" customHeight="1" x14ac:dyDescent="0.2">
      <c r="A611" s="27" t="s">
        <v>3083</v>
      </c>
      <c r="B611" s="27" t="s">
        <v>2264</v>
      </c>
      <c r="C611" s="27"/>
      <c r="D611" s="31">
        <f t="shared" ref="D611:D621" si="175">D610+1.05</f>
        <v>14.833000000000002</v>
      </c>
      <c r="E611" s="52">
        <v>33409</v>
      </c>
      <c r="F611" s="31">
        <v>1.35</v>
      </c>
      <c r="G611" s="31">
        <v>1.22</v>
      </c>
      <c r="H611" s="31">
        <v>1.25</v>
      </c>
      <c r="I611" s="31">
        <v>1.3</v>
      </c>
      <c r="J611" s="31">
        <v>1.0780000000000001</v>
      </c>
      <c r="K611" s="52">
        <f t="shared" si="139"/>
        <v>96389.383340250017</v>
      </c>
      <c r="L611" s="52">
        <f t="shared" si="174"/>
        <v>1156672.6000830003</v>
      </c>
    </row>
    <row r="612" spans="1:12" ht="30" customHeight="1" x14ac:dyDescent="0.2">
      <c r="A612" s="27" t="s">
        <v>3084</v>
      </c>
      <c r="B612" s="27" t="s">
        <v>2266</v>
      </c>
      <c r="C612" s="27"/>
      <c r="D612" s="31">
        <f t="shared" si="175"/>
        <v>15.883000000000003</v>
      </c>
      <c r="E612" s="52">
        <v>33409</v>
      </c>
      <c r="F612" s="31">
        <v>1.35</v>
      </c>
      <c r="G612" s="31">
        <v>1.22</v>
      </c>
      <c r="H612" s="31">
        <v>1.25</v>
      </c>
      <c r="I612" s="31">
        <v>1.3</v>
      </c>
      <c r="J612" s="31">
        <v>1.0780000000000001</v>
      </c>
      <c r="K612" s="52">
        <f t="shared" si="139"/>
        <v>96389.383340250017</v>
      </c>
      <c r="L612" s="52">
        <f t="shared" si="174"/>
        <v>1253061.9834232503</v>
      </c>
    </row>
    <row r="613" spans="1:12" ht="30" customHeight="1" x14ac:dyDescent="0.2">
      <c r="A613" s="27" t="s">
        <v>3085</v>
      </c>
      <c r="B613" s="27" t="s">
        <v>2268</v>
      </c>
      <c r="C613" s="27"/>
      <c r="D613" s="31">
        <f t="shared" si="175"/>
        <v>16.933000000000003</v>
      </c>
      <c r="E613" s="52">
        <v>33409</v>
      </c>
      <c r="F613" s="31">
        <v>1.35</v>
      </c>
      <c r="G613" s="31">
        <v>1.22</v>
      </c>
      <c r="H613" s="31">
        <v>1.25</v>
      </c>
      <c r="I613" s="31">
        <v>1.3</v>
      </c>
      <c r="J613" s="31">
        <v>1.0780000000000001</v>
      </c>
      <c r="K613" s="52">
        <f t="shared" si="139"/>
        <v>96389.383340250017</v>
      </c>
      <c r="L613" s="52">
        <f t="shared" si="174"/>
        <v>1349451.3667635003</v>
      </c>
    </row>
    <row r="614" spans="1:12" ht="30" customHeight="1" x14ac:dyDescent="0.2">
      <c r="A614" s="27" t="s">
        <v>3086</v>
      </c>
      <c r="B614" s="27" t="s">
        <v>2270</v>
      </c>
      <c r="C614" s="27"/>
      <c r="D614" s="31">
        <f t="shared" si="175"/>
        <v>17.983000000000004</v>
      </c>
      <c r="E614" s="52">
        <v>33409</v>
      </c>
      <c r="F614" s="31">
        <v>1.35</v>
      </c>
      <c r="G614" s="31">
        <v>1.22</v>
      </c>
      <c r="H614" s="31">
        <v>1.25</v>
      </c>
      <c r="I614" s="31">
        <v>1.3</v>
      </c>
      <c r="J614" s="31">
        <v>1.0780000000000001</v>
      </c>
      <c r="K614" s="52">
        <f t="shared" si="139"/>
        <v>96389.383340250017</v>
      </c>
      <c r="L614" s="52">
        <f t="shared" si="174"/>
        <v>1445840.7501037503</v>
      </c>
    </row>
    <row r="615" spans="1:12" ht="30" customHeight="1" x14ac:dyDescent="0.2">
      <c r="A615" s="27" t="s">
        <v>3087</v>
      </c>
      <c r="B615" s="27" t="s">
        <v>2303</v>
      </c>
      <c r="C615" s="27"/>
      <c r="D615" s="31">
        <f t="shared" si="175"/>
        <v>19.033000000000005</v>
      </c>
      <c r="E615" s="52">
        <v>33409</v>
      </c>
      <c r="F615" s="31">
        <v>1.35</v>
      </c>
      <c r="G615" s="31">
        <v>1.22</v>
      </c>
      <c r="H615" s="31">
        <v>1.25</v>
      </c>
      <c r="I615" s="31">
        <v>1.3</v>
      </c>
      <c r="J615" s="31">
        <v>1.0780000000000001</v>
      </c>
      <c r="K615" s="52">
        <f t="shared" si="139"/>
        <v>96389.383340250017</v>
      </c>
      <c r="L615" s="52">
        <f t="shared" si="174"/>
        <v>1542230.1334440003</v>
      </c>
    </row>
    <row r="616" spans="1:12" ht="30" customHeight="1" x14ac:dyDescent="0.2">
      <c r="A616" s="27" t="s">
        <v>3088</v>
      </c>
      <c r="B616" s="27" t="s">
        <v>2274</v>
      </c>
      <c r="C616" s="27"/>
      <c r="D616" s="31">
        <f t="shared" si="175"/>
        <v>20.083000000000006</v>
      </c>
      <c r="E616" s="52">
        <v>33409</v>
      </c>
      <c r="F616" s="31">
        <v>1.35</v>
      </c>
      <c r="G616" s="31">
        <v>1.22</v>
      </c>
      <c r="H616" s="31">
        <v>1.25</v>
      </c>
      <c r="I616" s="31">
        <v>1.3</v>
      </c>
      <c r="J616" s="31">
        <v>1.0780000000000001</v>
      </c>
      <c r="K616" s="52">
        <f t="shared" si="139"/>
        <v>96389.383340250017</v>
      </c>
      <c r="L616" s="52">
        <f t="shared" si="174"/>
        <v>1638619.5167842503</v>
      </c>
    </row>
    <row r="617" spans="1:12" ht="30" customHeight="1" x14ac:dyDescent="0.2">
      <c r="A617" s="27" t="s">
        <v>3089</v>
      </c>
      <c r="B617" s="27" t="s">
        <v>2276</v>
      </c>
      <c r="C617" s="27"/>
      <c r="D617" s="31">
        <f t="shared" si="175"/>
        <v>21.133000000000006</v>
      </c>
      <c r="E617" s="52">
        <v>33409</v>
      </c>
      <c r="F617" s="31">
        <v>1.35</v>
      </c>
      <c r="G617" s="31">
        <v>1.22</v>
      </c>
      <c r="H617" s="31">
        <v>1.25</v>
      </c>
      <c r="I617" s="31">
        <v>1.3</v>
      </c>
      <c r="J617" s="31">
        <v>1.0780000000000001</v>
      </c>
      <c r="K617" s="52">
        <f t="shared" si="139"/>
        <v>96389.383340250017</v>
      </c>
      <c r="L617" s="52">
        <f t="shared" si="174"/>
        <v>1735008.9001245003</v>
      </c>
    </row>
    <row r="618" spans="1:12" ht="30" customHeight="1" x14ac:dyDescent="0.2">
      <c r="A618" s="27" t="s">
        <v>3090</v>
      </c>
      <c r="B618" s="27" t="s">
        <v>2278</v>
      </c>
      <c r="C618" s="27"/>
      <c r="D618" s="31">
        <f t="shared" si="175"/>
        <v>22.183000000000007</v>
      </c>
      <c r="E618" s="52">
        <v>33409</v>
      </c>
      <c r="F618" s="31">
        <v>1.35</v>
      </c>
      <c r="G618" s="31">
        <v>1.22</v>
      </c>
      <c r="H618" s="31">
        <v>1.25</v>
      </c>
      <c r="I618" s="31">
        <v>1.3</v>
      </c>
      <c r="J618" s="31">
        <v>1.0780000000000001</v>
      </c>
      <c r="K618" s="52">
        <f t="shared" si="139"/>
        <v>96389.383340250017</v>
      </c>
      <c r="L618" s="52">
        <f t="shared" si="174"/>
        <v>1831398.2834647503</v>
      </c>
    </row>
    <row r="619" spans="1:12" ht="30" customHeight="1" x14ac:dyDescent="0.2">
      <c r="A619" s="27" t="s">
        <v>3091</v>
      </c>
      <c r="B619" s="27" t="s">
        <v>2280</v>
      </c>
      <c r="C619" s="27"/>
      <c r="D619" s="31">
        <f t="shared" si="175"/>
        <v>23.233000000000008</v>
      </c>
      <c r="E619" s="52">
        <v>33409</v>
      </c>
      <c r="F619" s="31">
        <v>1.35</v>
      </c>
      <c r="G619" s="31">
        <v>1.22</v>
      </c>
      <c r="H619" s="31">
        <v>1.25</v>
      </c>
      <c r="I619" s="31">
        <v>1.3</v>
      </c>
      <c r="J619" s="31">
        <v>1.0780000000000001</v>
      </c>
      <c r="K619" s="52">
        <f t="shared" si="139"/>
        <v>96389.383340250017</v>
      </c>
      <c r="L619" s="52">
        <f t="shared" si="174"/>
        <v>1927787.6668050003</v>
      </c>
    </row>
    <row r="620" spans="1:12" ht="30" customHeight="1" x14ac:dyDescent="0.2">
      <c r="A620" s="27" t="s">
        <v>3092</v>
      </c>
      <c r="B620" s="27" t="s">
        <v>2309</v>
      </c>
      <c r="C620" s="27"/>
      <c r="D620" s="31">
        <f t="shared" si="175"/>
        <v>24.283000000000008</v>
      </c>
      <c r="E620" s="52">
        <v>33409</v>
      </c>
      <c r="F620" s="31">
        <v>1.35</v>
      </c>
      <c r="G620" s="31">
        <v>1.22</v>
      </c>
      <c r="H620" s="31">
        <v>1.25</v>
      </c>
      <c r="I620" s="31">
        <v>1.3</v>
      </c>
      <c r="J620" s="31">
        <v>1.0780000000000001</v>
      </c>
      <c r="K620" s="52">
        <f t="shared" si="139"/>
        <v>96389.383340250017</v>
      </c>
      <c r="L620" s="52">
        <f t="shared" si="174"/>
        <v>2024177.0501452503</v>
      </c>
    </row>
    <row r="621" spans="1:12" ht="30" customHeight="1" x14ac:dyDescent="0.2">
      <c r="A621" s="27" t="s">
        <v>3093</v>
      </c>
      <c r="B621" s="27" t="s">
        <v>2284</v>
      </c>
      <c r="C621" s="27"/>
      <c r="D621" s="31">
        <f t="shared" si="175"/>
        <v>25.333000000000009</v>
      </c>
      <c r="E621" s="52">
        <v>33409</v>
      </c>
      <c r="F621" s="31">
        <v>1.35</v>
      </c>
      <c r="G621" s="31">
        <v>1.22</v>
      </c>
      <c r="H621" s="31">
        <v>1.25</v>
      </c>
      <c r="I621" s="31">
        <v>1.3</v>
      </c>
      <c r="J621" s="31">
        <v>1.0780000000000001</v>
      </c>
      <c r="K621" s="52">
        <f t="shared" si="139"/>
        <v>96389.383340250017</v>
      </c>
      <c r="L621" s="52">
        <f t="shared" si="174"/>
        <v>2120566.4334855005</v>
      </c>
    </row>
    <row r="622" spans="1:12" ht="30" customHeight="1" x14ac:dyDescent="0.2">
      <c r="A622" s="27" t="s">
        <v>3094</v>
      </c>
      <c r="B622" s="27" t="s">
        <v>3095</v>
      </c>
      <c r="C622" s="27"/>
      <c r="D622" s="31">
        <f>D621+2.833</f>
        <v>28.166000000000011</v>
      </c>
      <c r="E622" s="52">
        <v>33409</v>
      </c>
      <c r="F622" s="31">
        <v>1.35</v>
      </c>
      <c r="G622" s="31">
        <v>1.22</v>
      </c>
      <c r="H622" s="31">
        <v>1.25</v>
      </c>
      <c r="I622" s="31">
        <v>1.3</v>
      </c>
      <c r="J622" s="31">
        <v>1.0780000000000001</v>
      </c>
      <c r="K622" s="52">
        <f t="shared" si="139"/>
        <v>96389.383340250017</v>
      </c>
      <c r="L622" s="52">
        <f t="shared" si="174"/>
        <v>2216955.8168257507</v>
      </c>
    </row>
    <row r="623" spans="1:12" ht="30" customHeight="1" x14ac:dyDescent="0.2">
      <c r="A623" s="27" t="s">
        <v>3096</v>
      </c>
      <c r="B623" s="27" t="s">
        <v>2491</v>
      </c>
      <c r="C623" s="27"/>
      <c r="D623" s="31">
        <f t="shared" ref="D623:D633" si="176">D622+1.05</f>
        <v>29.216000000000012</v>
      </c>
      <c r="E623" s="52">
        <v>33409</v>
      </c>
      <c r="F623" s="31">
        <v>1.35</v>
      </c>
      <c r="G623" s="31">
        <v>1.22</v>
      </c>
      <c r="H623" s="31">
        <v>1.25</v>
      </c>
      <c r="I623" s="31">
        <v>1.3</v>
      </c>
      <c r="J623" s="31">
        <v>1.0780000000000001</v>
      </c>
      <c r="K623" s="52">
        <f t="shared" si="139"/>
        <v>96389.383340250017</v>
      </c>
      <c r="L623" s="52">
        <f t="shared" si="174"/>
        <v>2313345.200166001</v>
      </c>
    </row>
    <row r="624" spans="1:12" ht="30" customHeight="1" x14ac:dyDescent="0.2">
      <c r="A624" s="27" t="s">
        <v>3097</v>
      </c>
      <c r="B624" s="27" t="s">
        <v>3098</v>
      </c>
      <c r="C624" s="27"/>
      <c r="D624" s="31">
        <f t="shared" si="176"/>
        <v>30.266000000000012</v>
      </c>
      <c r="E624" s="52">
        <v>33409</v>
      </c>
      <c r="F624" s="31">
        <v>1.35</v>
      </c>
      <c r="G624" s="31">
        <v>1.22</v>
      </c>
      <c r="H624" s="31">
        <v>1.25</v>
      </c>
      <c r="I624" s="31">
        <v>1.3</v>
      </c>
      <c r="J624" s="31">
        <v>1.0780000000000001</v>
      </c>
      <c r="K624" s="52">
        <f t="shared" si="139"/>
        <v>96389.383340250017</v>
      </c>
      <c r="L624" s="52">
        <f t="shared" si="174"/>
        <v>2409734.5835062512</v>
      </c>
    </row>
    <row r="625" spans="1:12" ht="30" customHeight="1" x14ac:dyDescent="0.2">
      <c r="A625" s="27" t="s">
        <v>3099</v>
      </c>
      <c r="B625" s="27" t="s">
        <v>3100</v>
      </c>
      <c r="C625" s="27"/>
      <c r="D625" s="31">
        <f t="shared" si="176"/>
        <v>31.316000000000013</v>
      </c>
      <c r="E625" s="52">
        <v>33409</v>
      </c>
      <c r="F625" s="31">
        <v>1.35</v>
      </c>
      <c r="G625" s="31">
        <v>1.22</v>
      </c>
      <c r="H625" s="31">
        <v>1.25</v>
      </c>
      <c r="I625" s="31">
        <v>1.3</v>
      </c>
      <c r="J625" s="31">
        <v>1.0780000000000001</v>
      </c>
      <c r="K625" s="52">
        <f t="shared" si="139"/>
        <v>96389.383340250017</v>
      </c>
      <c r="L625" s="52">
        <f t="shared" si="174"/>
        <v>2506123.9668465015</v>
      </c>
    </row>
    <row r="626" spans="1:12" ht="30" customHeight="1" x14ac:dyDescent="0.2">
      <c r="A626" s="27" t="s">
        <v>3101</v>
      </c>
      <c r="B626" s="27" t="s">
        <v>3102</v>
      </c>
      <c r="C626" s="27"/>
      <c r="D626" s="31">
        <f t="shared" si="176"/>
        <v>32.366000000000014</v>
      </c>
      <c r="E626" s="52">
        <v>33409</v>
      </c>
      <c r="F626" s="31">
        <v>1.35</v>
      </c>
      <c r="G626" s="31">
        <v>1.22</v>
      </c>
      <c r="H626" s="31">
        <v>1.25</v>
      </c>
      <c r="I626" s="31">
        <v>1.3</v>
      </c>
      <c r="J626" s="31">
        <v>1.0780000000000001</v>
      </c>
      <c r="K626" s="52">
        <f t="shared" si="139"/>
        <v>96389.383340250017</v>
      </c>
      <c r="L626" s="52">
        <f t="shared" si="174"/>
        <v>2602513.3501867517</v>
      </c>
    </row>
    <row r="627" spans="1:12" ht="30" customHeight="1" x14ac:dyDescent="0.2">
      <c r="A627" s="27" t="s">
        <v>3103</v>
      </c>
      <c r="B627" s="27" t="s">
        <v>3104</v>
      </c>
      <c r="C627" s="27"/>
      <c r="D627" s="31">
        <f t="shared" si="176"/>
        <v>33.416000000000011</v>
      </c>
      <c r="E627" s="52">
        <v>33409</v>
      </c>
      <c r="F627" s="31">
        <v>1.35</v>
      </c>
      <c r="G627" s="31">
        <v>1.22</v>
      </c>
      <c r="H627" s="31">
        <v>1.25</v>
      </c>
      <c r="I627" s="31">
        <v>1.3</v>
      </c>
      <c r="J627" s="31">
        <v>1.0780000000000001</v>
      </c>
      <c r="K627" s="52">
        <f t="shared" si="139"/>
        <v>96389.383340250017</v>
      </c>
      <c r="L627" s="52">
        <f t="shared" si="174"/>
        <v>2698902.7335270019</v>
      </c>
    </row>
    <row r="628" spans="1:12" ht="30" customHeight="1" x14ac:dyDescent="0.2">
      <c r="A628" s="27" t="s">
        <v>3105</v>
      </c>
      <c r="B628" s="27" t="s">
        <v>3106</v>
      </c>
      <c r="C628" s="27"/>
      <c r="D628" s="31">
        <f t="shared" si="176"/>
        <v>34.466000000000008</v>
      </c>
      <c r="E628" s="52">
        <v>33409</v>
      </c>
      <c r="F628" s="31">
        <v>1.35</v>
      </c>
      <c r="G628" s="31">
        <v>1.22</v>
      </c>
      <c r="H628" s="31">
        <v>1.25</v>
      </c>
      <c r="I628" s="31">
        <v>1.3</v>
      </c>
      <c r="J628" s="31">
        <v>1.0780000000000001</v>
      </c>
      <c r="K628" s="52">
        <f t="shared" si="139"/>
        <v>96389.383340250017</v>
      </c>
      <c r="L628" s="52">
        <f t="shared" si="174"/>
        <v>2795292.1168672522</v>
      </c>
    </row>
    <row r="629" spans="1:12" ht="30" customHeight="1" x14ac:dyDescent="0.2">
      <c r="A629" s="27" t="s">
        <v>3107</v>
      </c>
      <c r="B629" s="27" t="s">
        <v>3108</v>
      </c>
      <c r="C629" s="27"/>
      <c r="D629" s="31">
        <f t="shared" si="176"/>
        <v>35.516000000000005</v>
      </c>
      <c r="E629" s="52">
        <v>33409</v>
      </c>
      <c r="F629" s="31">
        <v>1.35</v>
      </c>
      <c r="G629" s="31">
        <v>1.22</v>
      </c>
      <c r="H629" s="31">
        <v>1.25</v>
      </c>
      <c r="I629" s="31">
        <v>1.3</v>
      </c>
      <c r="J629" s="31">
        <v>1.0780000000000001</v>
      </c>
      <c r="K629" s="52">
        <f t="shared" si="139"/>
        <v>96389.383340250017</v>
      </c>
      <c r="L629" s="52">
        <f t="shared" si="174"/>
        <v>2891681.5002075024</v>
      </c>
    </row>
    <row r="630" spans="1:12" ht="30" customHeight="1" x14ac:dyDescent="0.2">
      <c r="A630" s="27" t="s">
        <v>3109</v>
      </c>
      <c r="B630" s="27" t="s">
        <v>3110</v>
      </c>
      <c r="C630" s="27"/>
      <c r="D630" s="31">
        <f t="shared" si="176"/>
        <v>36.566000000000003</v>
      </c>
      <c r="E630" s="52">
        <v>33409</v>
      </c>
      <c r="F630" s="31">
        <v>1.35</v>
      </c>
      <c r="G630" s="31">
        <v>1.22</v>
      </c>
      <c r="H630" s="31">
        <v>1.25</v>
      </c>
      <c r="I630" s="31">
        <v>1.3</v>
      </c>
      <c r="J630" s="31">
        <v>1.0780000000000001</v>
      </c>
      <c r="K630" s="52">
        <f t="shared" si="139"/>
        <v>96389.383340250017</v>
      </c>
      <c r="L630" s="52">
        <f t="shared" si="174"/>
        <v>2988070.8835477526</v>
      </c>
    </row>
    <row r="631" spans="1:12" ht="30" customHeight="1" x14ac:dyDescent="0.2">
      <c r="A631" s="27" t="s">
        <v>3111</v>
      </c>
      <c r="B631" s="27" t="s">
        <v>3112</v>
      </c>
      <c r="C631" s="27"/>
      <c r="D631" s="31">
        <f t="shared" si="176"/>
        <v>37.616</v>
      </c>
      <c r="E631" s="52">
        <v>33409</v>
      </c>
      <c r="F631" s="31">
        <v>1.35</v>
      </c>
      <c r="G631" s="31">
        <v>1.22</v>
      </c>
      <c r="H631" s="31">
        <v>1.25</v>
      </c>
      <c r="I631" s="31">
        <v>1.3</v>
      </c>
      <c r="J631" s="31">
        <v>1.0780000000000001</v>
      </c>
      <c r="K631" s="52">
        <f t="shared" si="139"/>
        <v>96389.383340250017</v>
      </c>
      <c r="L631" s="52">
        <f t="shared" si="174"/>
        <v>3084460.2668880029</v>
      </c>
    </row>
    <row r="632" spans="1:12" ht="30" customHeight="1" x14ac:dyDescent="0.2">
      <c r="A632" s="27" t="s">
        <v>3113</v>
      </c>
      <c r="B632" s="27" t="s">
        <v>3114</v>
      </c>
      <c r="C632" s="27"/>
      <c r="D632" s="31">
        <f t="shared" si="176"/>
        <v>38.665999999999997</v>
      </c>
      <c r="E632" s="52">
        <v>33409</v>
      </c>
      <c r="F632" s="31">
        <v>1.35</v>
      </c>
      <c r="G632" s="31">
        <v>1.22</v>
      </c>
      <c r="H632" s="31">
        <v>1.25</v>
      </c>
      <c r="I632" s="31">
        <v>1.3</v>
      </c>
      <c r="J632" s="31">
        <v>1.0780000000000001</v>
      </c>
      <c r="K632" s="52">
        <f t="shared" si="139"/>
        <v>96389.383340250017</v>
      </c>
      <c r="L632" s="52">
        <f t="shared" si="174"/>
        <v>3180849.6502282531</v>
      </c>
    </row>
    <row r="633" spans="1:12" ht="30" customHeight="1" x14ac:dyDescent="0.2">
      <c r="A633" s="27" t="s">
        <v>3115</v>
      </c>
      <c r="B633" s="27" t="s">
        <v>3116</v>
      </c>
      <c r="C633" s="27"/>
      <c r="D633" s="31">
        <f t="shared" si="176"/>
        <v>39.715999999999994</v>
      </c>
      <c r="E633" s="52">
        <v>33409</v>
      </c>
      <c r="F633" s="31">
        <v>1.35</v>
      </c>
      <c r="G633" s="31">
        <v>1.22</v>
      </c>
      <c r="H633" s="31">
        <v>1.25</v>
      </c>
      <c r="I633" s="31">
        <v>1.3</v>
      </c>
      <c r="J633" s="31">
        <v>1.0780000000000001</v>
      </c>
      <c r="K633" s="52">
        <f t="shared" si="139"/>
        <v>96389.383340250017</v>
      </c>
      <c r="L633" s="52">
        <f t="shared" si="174"/>
        <v>3277239.0335685033</v>
      </c>
    </row>
    <row r="634" spans="1:12" ht="30" customHeight="1" x14ac:dyDescent="0.2">
      <c r="A634" s="27" t="s">
        <v>3117</v>
      </c>
      <c r="B634" s="27" t="s">
        <v>3118</v>
      </c>
      <c r="C634" s="27"/>
      <c r="D634" s="31">
        <f>D633+2.833</f>
        <v>42.548999999999992</v>
      </c>
      <c r="E634" s="52">
        <v>33409</v>
      </c>
      <c r="F634" s="31">
        <v>1.35</v>
      </c>
      <c r="G634" s="31">
        <v>1.22</v>
      </c>
      <c r="H634" s="31">
        <v>1.25</v>
      </c>
      <c r="I634" s="31">
        <v>1.3</v>
      </c>
      <c r="J634" s="31">
        <v>1.0780000000000001</v>
      </c>
      <c r="K634" s="52">
        <f t="shared" si="139"/>
        <v>96389.383340250017</v>
      </c>
      <c r="L634" s="52">
        <f t="shared" si="174"/>
        <v>3373628.4169087536</v>
      </c>
    </row>
    <row r="635" spans="1:12" ht="30" customHeight="1" x14ac:dyDescent="0.2">
      <c r="A635" s="27" t="s">
        <v>3119</v>
      </c>
      <c r="B635" s="27" t="s">
        <v>3120</v>
      </c>
      <c r="C635" s="27"/>
      <c r="D635" s="31">
        <f t="shared" ref="D635:D642" si="177">D634+1.05</f>
        <v>43.59899999999999</v>
      </c>
      <c r="E635" s="52">
        <v>33409</v>
      </c>
      <c r="F635" s="31">
        <v>1.35</v>
      </c>
      <c r="G635" s="31">
        <v>1.22</v>
      </c>
      <c r="H635" s="31">
        <v>1.25</v>
      </c>
      <c r="I635" s="31">
        <v>1.3</v>
      </c>
      <c r="J635" s="31">
        <v>1.0780000000000001</v>
      </c>
      <c r="K635" s="52">
        <f t="shared" si="139"/>
        <v>96389.383340250017</v>
      </c>
      <c r="L635" s="52">
        <f t="shared" si="174"/>
        <v>3470017.8002490038</v>
      </c>
    </row>
    <row r="636" spans="1:12" ht="30" customHeight="1" x14ac:dyDescent="0.2">
      <c r="A636" s="27" t="s">
        <v>3121</v>
      </c>
      <c r="B636" s="27" t="s">
        <v>3122</v>
      </c>
      <c r="C636" s="27"/>
      <c r="D636" s="31">
        <f t="shared" si="177"/>
        <v>44.648999999999987</v>
      </c>
      <c r="E636" s="52">
        <v>33409</v>
      </c>
      <c r="F636" s="31">
        <v>1.35</v>
      </c>
      <c r="G636" s="31">
        <v>1.22</v>
      </c>
      <c r="H636" s="31">
        <v>1.25</v>
      </c>
      <c r="I636" s="31">
        <v>1.3</v>
      </c>
      <c r="J636" s="31">
        <v>1.0780000000000001</v>
      </c>
      <c r="K636" s="52">
        <f t="shared" si="139"/>
        <v>96389.383340250017</v>
      </c>
      <c r="L636" s="52">
        <f t="shared" si="174"/>
        <v>3566407.183589254</v>
      </c>
    </row>
    <row r="637" spans="1:12" ht="30" customHeight="1" x14ac:dyDescent="0.2">
      <c r="A637" s="27" t="s">
        <v>3123</v>
      </c>
      <c r="B637" s="27" t="s">
        <v>3124</v>
      </c>
      <c r="C637" s="27"/>
      <c r="D637" s="31">
        <f t="shared" si="177"/>
        <v>45.698999999999984</v>
      </c>
      <c r="E637" s="52">
        <v>33409</v>
      </c>
      <c r="F637" s="31">
        <v>1.35</v>
      </c>
      <c r="G637" s="31">
        <v>1.22</v>
      </c>
      <c r="H637" s="31">
        <v>1.25</v>
      </c>
      <c r="I637" s="31">
        <v>1.3</v>
      </c>
      <c r="J637" s="31">
        <v>1.0780000000000001</v>
      </c>
      <c r="K637" s="52">
        <f t="shared" si="139"/>
        <v>96389.383340250017</v>
      </c>
      <c r="L637" s="52">
        <f t="shared" si="174"/>
        <v>3662796.5669295043</v>
      </c>
    </row>
    <row r="638" spans="1:12" ht="30" customHeight="1" x14ac:dyDescent="0.2">
      <c r="A638" s="27" t="s">
        <v>3125</v>
      </c>
      <c r="B638" s="27" t="s">
        <v>3126</v>
      </c>
      <c r="C638" s="27"/>
      <c r="D638" s="31">
        <f t="shared" si="177"/>
        <v>46.748999999999981</v>
      </c>
      <c r="E638" s="52">
        <v>33409</v>
      </c>
      <c r="F638" s="31">
        <v>1.35</v>
      </c>
      <c r="G638" s="31">
        <v>1.22</v>
      </c>
      <c r="H638" s="31">
        <v>1.25</v>
      </c>
      <c r="I638" s="31">
        <v>1.3</v>
      </c>
      <c r="J638" s="31">
        <v>1.0780000000000001</v>
      </c>
      <c r="K638" s="52">
        <f t="shared" si="139"/>
        <v>96389.383340250017</v>
      </c>
      <c r="L638" s="52">
        <f t="shared" si="174"/>
        <v>3759185.9502697545</v>
      </c>
    </row>
    <row r="639" spans="1:12" ht="30" customHeight="1" x14ac:dyDescent="0.2">
      <c r="A639" s="27" t="s">
        <v>3127</v>
      </c>
      <c r="B639" s="27" t="s">
        <v>3128</v>
      </c>
      <c r="C639" s="27"/>
      <c r="D639" s="31">
        <f t="shared" si="177"/>
        <v>47.798999999999978</v>
      </c>
      <c r="E639" s="52">
        <v>33409</v>
      </c>
      <c r="F639" s="31">
        <v>1.35</v>
      </c>
      <c r="G639" s="31">
        <v>1.22</v>
      </c>
      <c r="H639" s="31">
        <v>1.25</v>
      </c>
      <c r="I639" s="31">
        <v>1.3</v>
      </c>
      <c r="J639" s="31">
        <v>1.0780000000000001</v>
      </c>
      <c r="K639" s="52">
        <f t="shared" si="139"/>
        <v>96389.383340250017</v>
      </c>
      <c r="L639" s="52">
        <f t="shared" si="174"/>
        <v>3855575.3336100047</v>
      </c>
    </row>
    <row r="640" spans="1:12" ht="30" customHeight="1" x14ac:dyDescent="0.2">
      <c r="A640" s="27" t="s">
        <v>3129</v>
      </c>
      <c r="B640" s="27" t="s">
        <v>3130</v>
      </c>
      <c r="C640" s="27"/>
      <c r="D640" s="31">
        <f t="shared" si="177"/>
        <v>48.848999999999975</v>
      </c>
      <c r="E640" s="52">
        <v>33409</v>
      </c>
      <c r="F640" s="31">
        <v>1.35</v>
      </c>
      <c r="G640" s="31">
        <v>1.22</v>
      </c>
      <c r="H640" s="31">
        <v>1.25</v>
      </c>
      <c r="I640" s="31">
        <v>1.3</v>
      </c>
      <c r="J640" s="31">
        <v>1.0780000000000001</v>
      </c>
      <c r="K640" s="52">
        <f t="shared" si="139"/>
        <v>96389.383340250017</v>
      </c>
      <c r="L640" s="52">
        <f t="shared" si="174"/>
        <v>3951964.716950255</v>
      </c>
    </row>
    <row r="641" spans="1:12" ht="30" customHeight="1" x14ac:dyDescent="0.2">
      <c r="A641" s="27" t="s">
        <v>3131</v>
      </c>
      <c r="B641" s="27" t="s">
        <v>3132</v>
      </c>
      <c r="C641" s="27"/>
      <c r="D641" s="31">
        <f t="shared" si="177"/>
        <v>49.898999999999972</v>
      </c>
      <c r="E641" s="52">
        <v>33409</v>
      </c>
      <c r="F641" s="31">
        <v>1.35</v>
      </c>
      <c r="G641" s="31">
        <v>1.22</v>
      </c>
      <c r="H641" s="31">
        <v>1.25</v>
      </c>
      <c r="I641" s="31">
        <v>1.3</v>
      </c>
      <c r="J641" s="31">
        <v>1.0780000000000001</v>
      </c>
      <c r="K641" s="52">
        <f t="shared" si="139"/>
        <v>96389.383340250017</v>
      </c>
      <c r="L641" s="52">
        <f t="shared" si="174"/>
        <v>4048354.1002905052</v>
      </c>
    </row>
    <row r="642" spans="1:12" ht="30" customHeight="1" x14ac:dyDescent="0.2">
      <c r="A642" s="27" t="s">
        <v>3133</v>
      </c>
      <c r="B642" s="27" t="s">
        <v>3134</v>
      </c>
      <c r="C642" s="27"/>
      <c r="D642" s="31">
        <f t="shared" si="177"/>
        <v>50.94899999999997</v>
      </c>
      <c r="E642" s="52">
        <v>33409</v>
      </c>
      <c r="F642" s="31">
        <v>1.35</v>
      </c>
      <c r="G642" s="31">
        <v>1.22</v>
      </c>
      <c r="H642" s="31">
        <v>1.25</v>
      </c>
      <c r="I642" s="31">
        <v>1.3</v>
      </c>
      <c r="J642" s="31">
        <v>1.0780000000000001</v>
      </c>
      <c r="K642" s="52">
        <f t="shared" si="139"/>
        <v>96389.383340250017</v>
      </c>
      <c r="L642" s="52">
        <f t="shared" si="174"/>
        <v>4144743.4836307555</v>
      </c>
    </row>
    <row r="643" spans="1:12" ht="30" customHeight="1" x14ac:dyDescent="0.2">
      <c r="A643" s="27" t="s">
        <v>3135</v>
      </c>
      <c r="B643" s="27" t="s">
        <v>2795</v>
      </c>
      <c r="C643" s="27"/>
      <c r="D643" s="31">
        <v>6.133</v>
      </c>
      <c r="E643" s="52">
        <f>110839*1.35</f>
        <v>149632.65000000002</v>
      </c>
      <c r="F643" s="31"/>
      <c r="G643" s="31"/>
      <c r="H643" s="31"/>
      <c r="I643" s="31">
        <v>1.3</v>
      </c>
      <c r="J643" s="31"/>
      <c r="K643" s="52">
        <f t="shared" si="139"/>
        <v>194522.44500000004</v>
      </c>
      <c r="L643" s="52">
        <f>K643</f>
        <v>194522.44500000004</v>
      </c>
    </row>
    <row r="644" spans="1:12" ht="30" customHeight="1" x14ac:dyDescent="0.2">
      <c r="A644" s="27" t="s">
        <v>3136</v>
      </c>
      <c r="B644" s="27" t="s">
        <v>3137</v>
      </c>
      <c r="C644" s="27"/>
      <c r="D644" s="31">
        <f>D643+1.683*67</f>
        <v>118.89400000000001</v>
      </c>
      <c r="E644" s="52">
        <f>110839*1.35*67</f>
        <v>10025387.550000001</v>
      </c>
      <c r="F644" s="31"/>
      <c r="G644" s="31"/>
      <c r="H644" s="31"/>
      <c r="I644" s="31">
        <v>1.3</v>
      </c>
      <c r="J644" s="31"/>
      <c r="K644" s="52">
        <f t="shared" si="139"/>
        <v>13033003.815000001</v>
      </c>
      <c r="L644" s="52">
        <f>K644+L643</f>
        <v>13227526.260000002</v>
      </c>
    </row>
    <row r="645" spans="1:12" ht="30" customHeight="1" x14ac:dyDescent="0.2">
      <c r="A645" s="27" t="s">
        <v>3138</v>
      </c>
      <c r="B645" s="27" t="s">
        <v>2242</v>
      </c>
      <c r="C645" s="27"/>
      <c r="D645" s="31">
        <v>0.66600000000000004</v>
      </c>
      <c r="E645" s="52">
        <v>26001</v>
      </c>
      <c r="F645" s="31">
        <v>1.1499999999999999</v>
      </c>
      <c r="G645" s="31">
        <v>1.22</v>
      </c>
      <c r="H645" s="31">
        <v>1.25</v>
      </c>
      <c r="I645" s="31">
        <v>1.3</v>
      </c>
      <c r="J645" s="31">
        <v>1.0777000000000001</v>
      </c>
      <c r="K645" s="52">
        <f t="shared" si="139"/>
        <v>63885.010496287505</v>
      </c>
      <c r="L645" s="52">
        <f>K645</f>
        <v>63885.010496287505</v>
      </c>
    </row>
    <row r="646" spans="1:12" ht="30" customHeight="1" x14ac:dyDescent="0.2">
      <c r="A646" s="27" t="s">
        <v>3139</v>
      </c>
      <c r="B646" s="27" t="s">
        <v>2244</v>
      </c>
      <c r="C646" s="27"/>
      <c r="D646" s="31">
        <f t="shared" ref="D646:D651" si="178">D645+0.95</f>
        <v>1.6160000000000001</v>
      </c>
      <c r="E646" s="52">
        <v>26001</v>
      </c>
      <c r="F646" s="31">
        <v>1.1499999999999999</v>
      </c>
      <c r="G646" s="31">
        <v>1.22</v>
      </c>
      <c r="H646" s="31">
        <v>1.25</v>
      </c>
      <c r="I646" s="31">
        <v>1.3</v>
      </c>
      <c r="J646" s="31">
        <v>1.0777000000000001</v>
      </c>
      <c r="K646" s="52">
        <f t="shared" si="139"/>
        <v>63885.010496287505</v>
      </c>
      <c r="L646" s="52">
        <f t="shared" ref="L646:L666" si="179">K646+L645</f>
        <v>127770.02099257501</v>
      </c>
    </row>
    <row r="647" spans="1:12" ht="30" customHeight="1" x14ac:dyDescent="0.2">
      <c r="A647" s="27" t="s">
        <v>3140</v>
      </c>
      <c r="B647" s="27" t="s">
        <v>2246</v>
      </c>
      <c r="C647" s="27"/>
      <c r="D647" s="31">
        <f t="shared" si="178"/>
        <v>2.5659999999999998</v>
      </c>
      <c r="E647" s="52">
        <v>26001</v>
      </c>
      <c r="F647" s="31">
        <v>1.1499999999999999</v>
      </c>
      <c r="G647" s="31">
        <v>1.22</v>
      </c>
      <c r="H647" s="31">
        <v>1.25</v>
      </c>
      <c r="I647" s="31">
        <v>1.3</v>
      </c>
      <c r="J647" s="31">
        <v>1.0777000000000001</v>
      </c>
      <c r="K647" s="52">
        <f t="shared" si="139"/>
        <v>63885.010496287505</v>
      </c>
      <c r="L647" s="52">
        <f t="shared" si="179"/>
        <v>191655.03148886253</v>
      </c>
    </row>
    <row r="648" spans="1:12" ht="30" customHeight="1" x14ac:dyDescent="0.2">
      <c r="A648" s="27" t="s">
        <v>3141</v>
      </c>
      <c r="B648" s="27" t="s">
        <v>2248</v>
      </c>
      <c r="C648" s="27"/>
      <c r="D648" s="31">
        <f t="shared" si="178"/>
        <v>3.516</v>
      </c>
      <c r="E648" s="52">
        <v>26001</v>
      </c>
      <c r="F648" s="31">
        <v>1.1499999999999999</v>
      </c>
      <c r="G648" s="31">
        <v>1.22</v>
      </c>
      <c r="H648" s="31">
        <v>1.25</v>
      </c>
      <c r="I648" s="31">
        <v>1.3</v>
      </c>
      <c r="J648" s="31">
        <v>1.0777000000000001</v>
      </c>
      <c r="K648" s="52">
        <f t="shared" si="139"/>
        <v>63885.010496287505</v>
      </c>
      <c r="L648" s="52">
        <f t="shared" si="179"/>
        <v>255540.04198515002</v>
      </c>
    </row>
    <row r="649" spans="1:12" ht="30" customHeight="1" x14ac:dyDescent="0.2">
      <c r="A649" s="27" t="s">
        <v>3142</v>
      </c>
      <c r="B649" s="27" t="s">
        <v>2250</v>
      </c>
      <c r="C649" s="27"/>
      <c r="D649" s="31">
        <f t="shared" si="178"/>
        <v>4.4660000000000002</v>
      </c>
      <c r="E649" s="52">
        <v>26001</v>
      </c>
      <c r="F649" s="31">
        <v>1.1499999999999999</v>
      </c>
      <c r="G649" s="31">
        <v>1.22</v>
      </c>
      <c r="H649" s="31">
        <v>1.25</v>
      </c>
      <c r="I649" s="31">
        <v>1.3</v>
      </c>
      <c r="J649" s="31">
        <v>1.0777000000000001</v>
      </c>
      <c r="K649" s="52">
        <f t="shared" si="139"/>
        <v>63885.010496287505</v>
      </c>
      <c r="L649" s="52">
        <f t="shared" si="179"/>
        <v>319425.05248143751</v>
      </c>
    </row>
    <row r="650" spans="1:12" ht="30" customHeight="1" x14ac:dyDescent="0.2">
      <c r="A650" s="27" t="s">
        <v>3143</v>
      </c>
      <c r="B650" s="27" t="s">
        <v>2291</v>
      </c>
      <c r="C650" s="27"/>
      <c r="D650" s="31">
        <f t="shared" si="178"/>
        <v>5.4160000000000004</v>
      </c>
      <c r="E650" s="52">
        <v>26001</v>
      </c>
      <c r="F650" s="31">
        <v>1.1499999999999999</v>
      </c>
      <c r="G650" s="31">
        <v>1.22</v>
      </c>
      <c r="H650" s="31">
        <v>1.25</v>
      </c>
      <c r="I650" s="31">
        <v>1.3</v>
      </c>
      <c r="J650" s="31">
        <v>1.0777000000000001</v>
      </c>
      <c r="K650" s="52">
        <f t="shared" si="139"/>
        <v>63885.010496287505</v>
      </c>
      <c r="L650" s="52">
        <f t="shared" si="179"/>
        <v>383310.062977725</v>
      </c>
    </row>
    <row r="651" spans="1:12" ht="30" customHeight="1" x14ac:dyDescent="0.2">
      <c r="A651" s="27" t="s">
        <v>3144</v>
      </c>
      <c r="B651" s="27" t="s">
        <v>2254</v>
      </c>
      <c r="C651" s="27"/>
      <c r="D651" s="31">
        <f t="shared" si="178"/>
        <v>6.3660000000000005</v>
      </c>
      <c r="E651" s="52">
        <v>26001</v>
      </c>
      <c r="F651" s="31">
        <v>1.1499999999999999</v>
      </c>
      <c r="G651" s="31">
        <v>1.22</v>
      </c>
      <c r="H651" s="31">
        <v>1.25</v>
      </c>
      <c r="I651" s="31">
        <v>1.3</v>
      </c>
      <c r="J651" s="31">
        <v>1.0777000000000001</v>
      </c>
      <c r="K651" s="52">
        <f t="shared" si="139"/>
        <v>63885.010496287505</v>
      </c>
      <c r="L651" s="52">
        <f t="shared" si="179"/>
        <v>447195.07347401249</v>
      </c>
    </row>
    <row r="652" spans="1:12" ht="30" customHeight="1" x14ac:dyDescent="0.2">
      <c r="A652" s="27" t="s">
        <v>3145</v>
      </c>
      <c r="B652" s="27" t="s">
        <v>3146</v>
      </c>
      <c r="C652" s="27"/>
      <c r="D652" s="31">
        <f>D651+1.5</f>
        <v>7.8660000000000005</v>
      </c>
      <c r="E652" s="52">
        <v>26001</v>
      </c>
      <c r="F652" s="31">
        <v>1.1499999999999999</v>
      </c>
      <c r="G652" s="31">
        <v>1.22</v>
      </c>
      <c r="H652" s="31">
        <v>1.25</v>
      </c>
      <c r="I652" s="31">
        <v>1.3</v>
      </c>
      <c r="J652" s="31">
        <v>1.0777000000000001</v>
      </c>
      <c r="K652" s="52">
        <f t="shared" si="139"/>
        <v>63885.010496287505</v>
      </c>
      <c r="L652" s="52">
        <f t="shared" si="179"/>
        <v>511080.08397029998</v>
      </c>
    </row>
    <row r="653" spans="1:12" ht="30" customHeight="1" x14ac:dyDescent="0.2">
      <c r="A653" s="27" t="s">
        <v>3147</v>
      </c>
      <c r="B653" s="27" t="s">
        <v>2258</v>
      </c>
      <c r="C653" s="27"/>
      <c r="D653" s="31">
        <f t="shared" ref="D653:D658" si="180">D652+0.95</f>
        <v>8.8160000000000007</v>
      </c>
      <c r="E653" s="52">
        <v>26001</v>
      </c>
      <c r="F653" s="31">
        <v>1.1499999999999999</v>
      </c>
      <c r="G653" s="31">
        <v>1.22</v>
      </c>
      <c r="H653" s="31">
        <v>1.25</v>
      </c>
      <c r="I653" s="31">
        <v>1.3</v>
      </c>
      <c r="J653" s="31">
        <v>1.0777000000000001</v>
      </c>
      <c r="K653" s="52">
        <f t="shared" si="139"/>
        <v>63885.010496287505</v>
      </c>
      <c r="L653" s="52">
        <f t="shared" si="179"/>
        <v>574965.09446658753</v>
      </c>
    </row>
    <row r="654" spans="1:12" ht="30" customHeight="1" x14ac:dyDescent="0.2">
      <c r="A654" s="27" t="s">
        <v>3148</v>
      </c>
      <c r="B654" s="27" t="s">
        <v>2260</v>
      </c>
      <c r="C654" s="27"/>
      <c r="D654" s="31">
        <f t="shared" si="180"/>
        <v>9.766</v>
      </c>
      <c r="E654" s="52">
        <v>26001</v>
      </c>
      <c r="F654" s="31">
        <v>1.1499999999999999</v>
      </c>
      <c r="G654" s="31">
        <v>1.22</v>
      </c>
      <c r="H654" s="31">
        <v>1.25</v>
      </c>
      <c r="I654" s="31">
        <v>1.3</v>
      </c>
      <c r="J654" s="31">
        <v>1.0777000000000001</v>
      </c>
      <c r="K654" s="52">
        <f t="shared" si="139"/>
        <v>63885.010496287505</v>
      </c>
      <c r="L654" s="52">
        <f t="shared" si="179"/>
        <v>638850.10496287502</v>
      </c>
    </row>
    <row r="655" spans="1:12" ht="30" customHeight="1" x14ac:dyDescent="0.2">
      <c r="A655" s="27" t="s">
        <v>3149</v>
      </c>
      <c r="B655" s="27" t="s">
        <v>2297</v>
      </c>
      <c r="C655" s="27"/>
      <c r="D655" s="31">
        <f t="shared" si="180"/>
        <v>10.715999999999999</v>
      </c>
      <c r="E655" s="52">
        <v>26001</v>
      </c>
      <c r="F655" s="31">
        <v>1.1499999999999999</v>
      </c>
      <c r="G655" s="31">
        <v>1.22</v>
      </c>
      <c r="H655" s="31">
        <v>1.25</v>
      </c>
      <c r="I655" s="31">
        <v>1.3</v>
      </c>
      <c r="J655" s="31">
        <v>1.0777000000000001</v>
      </c>
      <c r="K655" s="52">
        <f t="shared" si="139"/>
        <v>63885.010496287505</v>
      </c>
      <c r="L655" s="52">
        <f t="shared" si="179"/>
        <v>702735.11545916251</v>
      </c>
    </row>
    <row r="656" spans="1:12" ht="30" customHeight="1" x14ac:dyDescent="0.2">
      <c r="A656" s="27" t="s">
        <v>3150</v>
      </c>
      <c r="B656" s="27" t="s">
        <v>2264</v>
      </c>
      <c r="C656" s="27"/>
      <c r="D656" s="31">
        <f t="shared" si="180"/>
        <v>11.665999999999999</v>
      </c>
      <c r="E656" s="52">
        <v>26001</v>
      </c>
      <c r="F656" s="31">
        <v>1.1499999999999999</v>
      </c>
      <c r="G656" s="31">
        <v>1.22</v>
      </c>
      <c r="H656" s="31">
        <v>1.25</v>
      </c>
      <c r="I656" s="31">
        <v>1.3</v>
      </c>
      <c r="J656" s="31">
        <v>1.0777000000000001</v>
      </c>
      <c r="K656" s="52">
        <f t="shared" si="139"/>
        <v>63885.010496287505</v>
      </c>
      <c r="L656" s="52">
        <f t="shared" si="179"/>
        <v>766620.12595545</v>
      </c>
    </row>
    <row r="657" spans="1:12" ht="30" customHeight="1" x14ac:dyDescent="0.2">
      <c r="A657" s="27" t="s">
        <v>3151</v>
      </c>
      <c r="B657" s="27" t="s">
        <v>2266</v>
      </c>
      <c r="C657" s="27"/>
      <c r="D657" s="31">
        <f t="shared" si="180"/>
        <v>12.615999999999998</v>
      </c>
      <c r="E657" s="52">
        <v>26001</v>
      </c>
      <c r="F657" s="31">
        <v>1.1499999999999999</v>
      </c>
      <c r="G657" s="31">
        <v>1.22</v>
      </c>
      <c r="H657" s="31">
        <v>1.25</v>
      </c>
      <c r="I657" s="31">
        <v>1.3</v>
      </c>
      <c r="J657" s="31">
        <v>1.0777000000000001</v>
      </c>
      <c r="K657" s="52">
        <f t="shared" si="139"/>
        <v>63885.010496287505</v>
      </c>
      <c r="L657" s="52">
        <f t="shared" si="179"/>
        <v>830505.13645173749</v>
      </c>
    </row>
    <row r="658" spans="1:12" ht="30" customHeight="1" x14ac:dyDescent="0.2">
      <c r="A658" s="27" t="s">
        <v>3152</v>
      </c>
      <c r="B658" s="27" t="s">
        <v>2268</v>
      </c>
      <c r="C658" s="27"/>
      <c r="D658" s="31">
        <f t="shared" si="180"/>
        <v>13.565999999999997</v>
      </c>
      <c r="E658" s="52">
        <v>26001</v>
      </c>
      <c r="F658" s="31">
        <v>1.1499999999999999</v>
      </c>
      <c r="G658" s="31">
        <v>1.22</v>
      </c>
      <c r="H658" s="31">
        <v>1.25</v>
      </c>
      <c r="I658" s="31">
        <v>1.3</v>
      </c>
      <c r="J658" s="31">
        <v>1.0777000000000001</v>
      </c>
      <c r="K658" s="52">
        <f t="shared" si="139"/>
        <v>63885.010496287505</v>
      </c>
      <c r="L658" s="52">
        <f t="shared" si="179"/>
        <v>894390.14694802498</v>
      </c>
    </row>
    <row r="659" spans="1:12" ht="30" customHeight="1" x14ac:dyDescent="0.2">
      <c r="A659" s="27" t="s">
        <v>3153</v>
      </c>
      <c r="B659" s="27" t="s">
        <v>3154</v>
      </c>
      <c r="C659" s="27"/>
      <c r="D659" s="31">
        <f>D658+1.5</f>
        <v>15.065999999999997</v>
      </c>
      <c r="E659" s="52">
        <v>26001</v>
      </c>
      <c r="F659" s="31">
        <v>1.1499999999999999</v>
      </c>
      <c r="G659" s="31">
        <v>1.22</v>
      </c>
      <c r="H659" s="31">
        <v>1.25</v>
      </c>
      <c r="I659" s="31">
        <v>1.3</v>
      </c>
      <c r="J659" s="31">
        <v>1.0777000000000001</v>
      </c>
      <c r="K659" s="52">
        <f t="shared" si="139"/>
        <v>63885.010496287505</v>
      </c>
      <c r="L659" s="52">
        <f t="shared" si="179"/>
        <v>958275.15744431247</v>
      </c>
    </row>
    <row r="660" spans="1:12" ht="30" customHeight="1" x14ac:dyDescent="0.2">
      <c r="A660" s="27" t="s">
        <v>3155</v>
      </c>
      <c r="B660" s="27" t="s">
        <v>2303</v>
      </c>
      <c r="C660" s="27"/>
      <c r="D660" s="31">
        <f t="shared" ref="D660:D665" si="181">D659+0.95</f>
        <v>16.015999999999998</v>
      </c>
      <c r="E660" s="52">
        <v>26001</v>
      </c>
      <c r="F660" s="31">
        <v>1.1499999999999999</v>
      </c>
      <c r="G660" s="31">
        <v>1.22</v>
      </c>
      <c r="H660" s="31">
        <v>1.25</v>
      </c>
      <c r="I660" s="31">
        <v>1.3</v>
      </c>
      <c r="J660" s="31">
        <v>1.0777000000000001</v>
      </c>
      <c r="K660" s="52">
        <f t="shared" si="139"/>
        <v>63885.010496287505</v>
      </c>
      <c r="L660" s="52">
        <f t="shared" si="179"/>
        <v>1022160.1679406</v>
      </c>
    </row>
    <row r="661" spans="1:12" ht="30" customHeight="1" x14ac:dyDescent="0.2">
      <c r="A661" s="27" t="s">
        <v>3156</v>
      </c>
      <c r="B661" s="27" t="s">
        <v>2274</v>
      </c>
      <c r="C661" s="27"/>
      <c r="D661" s="31">
        <f t="shared" si="181"/>
        <v>16.965999999999998</v>
      </c>
      <c r="E661" s="52">
        <v>26001</v>
      </c>
      <c r="F661" s="31">
        <v>1.1499999999999999</v>
      </c>
      <c r="G661" s="31">
        <v>1.22</v>
      </c>
      <c r="H661" s="31">
        <v>1.25</v>
      </c>
      <c r="I661" s="31">
        <v>1.3</v>
      </c>
      <c r="J661" s="31">
        <v>1.0777000000000001</v>
      </c>
      <c r="K661" s="52">
        <f t="shared" si="139"/>
        <v>63885.010496287505</v>
      </c>
      <c r="L661" s="52">
        <f t="shared" si="179"/>
        <v>1086045.1784368875</v>
      </c>
    </row>
    <row r="662" spans="1:12" ht="30" customHeight="1" x14ac:dyDescent="0.2">
      <c r="A662" s="27" t="s">
        <v>3157</v>
      </c>
      <c r="B662" s="27" t="s">
        <v>2276</v>
      </c>
      <c r="C662" s="27"/>
      <c r="D662" s="31">
        <f t="shared" si="181"/>
        <v>17.915999999999997</v>
      </c>
      <c r="E662" s="52">
        <v>26001</v>
      </c>
      <c r="F662" s="31">
        <v>1.1499999999999999</v>
      </c>
      <c r="G662" s="31">
        <v>1.22</v>
      </c>
      <c r="H662" s="31">
        <v>1.25</v>
      </c>
      <c r="I662" s="31">
        <v>1.3</v>
      </c>
      <c r="J662" s="31">
        <v>1.0777000000000001</v>
      </c>
      <c r="K662" s="52">
        <f t="shared" si="139"/>
        <v>63885.010496287505</v>
      </c>
      <c r="L662" s="52">
        <f t="shared" si="179"/>
        <v>1149930.1889331751</v>
      </c>
    </row>
    <row r="663" spans="1:12" ht="30" customHeight="1" x14ac:dyDescent="0.2">
      <c r="A663" s="27" t="s">
        <v>3158</v>
      </c>
      <c r="B663" s="27" t="s">
        <v>2278</v>
      </c>
      <c r="C663" s="27"/>
      <c r="D663" s="31">
        <f t="shared" si="181"/>
        <v>18.865999999999996</v>
      </c>
      <c r="E663" s="52">
        <v>26001</v>
      </c>
      <c r="F663" s="31">
        <v>1.1499999999999999</v>
      </c>
      <c r="G663" s="31">
        <v>1.22</v>
      </c>
      <c r="H663" s="31">
        <v>1.25</v>
      </c>
      <c r="I663" s="31">
        <v>1.3</v>
      </c>
      <c r="J663" s="31">
        <v>1.0777000000000001</v>
      </c>
      <c r="K663" s="52">
        <f t="shared" si="139"/>
        <v>63885.010496287505</v>
      </c>
      <c r="L663" s="52">
        <f t="shared" si="179"/>
        <v>1213815.1994294627</v>
      </c>
    </row>
    <row r="664" spans="1:12" ht="30" customHeight="1" x14ac:dyDescent="0.2">
      <c r="A664" s="27" t="s">
        <v>3159</v>
      </c>
      <c r="B664" s="27" t="s">
        <v>2280</v>
      </c>
      <c r="C664" s="27"/>
      <c r="D664" s="31">
        <f t="shared" si="181"/>
        <v>19.815999999999995</v>
      </c>
      <c r="E664" s="52">
        <v>26001</v>
      </c>
      <c r="F664" s="31">
        <v>1.1499999999999999</v>
      </c>
      <c r="G664" s="31">
        <v>1.22</v>
      </c>
      <c r="H664" s="31">
        <v>1.25</v>
      </c>
      <c r="I664" s="31">
        <v>1.3</v>
      </c>
      <c r="J664" s="31">
        <v>1.0777000000000001</v>
      </c>
      <c r="K664" s="52">
        <f t="shared" si="139"/>
        <v>63885.010496287505</v>
      </c>
      <c r="L664" s="52">
        <f t="shared" si="179"/>
        <v>1277700.2099257503</v>
      </c>
    </row>
    <row r="665" spans="1:12" ht="30" customHeight="1" x14ac:dyDescent="0.2">
      <c r="A665" s="27" t="s">
        <v>3160</v>
      </c>
      <c r="B665" s="27" t="s">
        <v>2309</v>
      </c>
      <c r="C665" s="27"/>
      <c r="D665" s="31">
        <f t="shared" si="181"/>
        <v>20.765999999999995</v>
      </c>
      <c r="E665" s="52">
        <v>26001</v>
      </c>
      <c r="F665" s="31">
        <v>1.1499999999999999</v>
      </c>
      <c r="G665" s="31">
        <v>1.22</v>
      </c>
      <c r="H665" s="31">
        <v>1.25</v>
      </c>
      <c r="I665" s="31">
        <v>1.3</v>
      </c>
      <c r="J665" s="31">
        <v>1.0777000000000001</v>
      </c>
      <c r="K665" s="52">
        <f t="shared" si="139"/>
        <v>63885.010496287505</v>
      </c>
      <c r="L665" s="52">
        <f t="shared" si="179"/>
        <v>1341585.2204220379</v>
      </c>
    </row>
    <row r="666" spans="1:12" ht="30" customHeight="1" x14ac:dyDescent="0.2">
      <c r="A666" s="27" t="s">
        <v>3161</v>
      </c>
      <c r="B666" s="27" t="s">
        <v>3162</v>
      </c>
      <c r="C666" s="27"/>
      <c r="D666" s="31">
        <f>D665+1.5</f>
        <v>22.265999999999995</v>
      </c>
      <c r="E666" s="52">
        <v>26001</v>
      </c>
      <c r="F666" s="31">
        <v>1.1499999999999999</v>
      </c>
      <c r="G666" s="31">
        <v>1.22</v>
      </c>
      <c r="H666" s="31">
        <v>1.25</v>
      </c>
      <c r="I666" s="31">
        <v>1.3</v>
      </c>
      <c r="J666" s="31">
        <v>1.0777000000000001</v>
      </c>
      <c r="K666" s="52">
        <f t="shared" si="139"/>
        <v>63885.010496287505</v>
      </c>
      <c r="L666" s="52">
        <f t="shared" si="179"/>
        <v>1405470.2309183255</v>
      </c>
    </row>
    <row r="667" spans="1:12" ht="30" customHeight="1" x14ac:dyDescent="0.2">
      <c r="A667" s="27" t="s">
        <v>3163</v>
      </c>
      <c r="B667" s="27" t="s">
        <v>2242</v>
      </c>
      <c r="C667" s="27"/>
      <c r="D667" s="31">
        <v>0.16600000000000001</v>
      </c>
      <c r="E667" s="52">
        <v>27126</v>
      </c>
      <c r="F667" s="31">
        <f t="shared" ref="F667:F689" si="182">1.47*1.0998</f>
        <v>1.6167060000000002</v>
      </c>
      <c r="G667" s="31">
        <v>1.22</v>
      </c>
      <c r="H667" s="31">
        <v>1.25</v>
      </c>
      <c r="I667" s="31">
        <v>1.3</v>
      </c>
      <c r="J667" s="31">
        <v>1.0777000000000001</v>
      </c>
      <c r="K667" s="52">
        <f t="shared" si="139"/>
        <v>93697.474755863994</v>
      </c>
      <c r="L667" s="52">
        <f>K667</f>
        <v>93697.474755863994</v>
      </c>
    </row>
    <row r="668" spans="1:12" ht="30" customHeight="1" x14ac:dyDescent="0.2">
      <c r="A668" s="27" t="s">
        <v>3164</v>
      </c>
      <c r="B668" s="27" t="s">
        <v>2244</v>
      </c>
      <c r="C668" s="27"/>
      <c r="D668" s="31">
        <f t="shared" ref="D668:D679" si="183">D667+0.4</f>
        <v>0.56600000000000006</v>
      </c>
      <c r="E668" s="52">
        <v>27126</v>
      </c>
      <c r="F668" s="31">
        <f t="shared" si="182"/>
        <v>1.6167060000000002</v>
      </c>
      <c r="G668" s="31">
        <v>1.22</v>
      </c>
      <c r="H668" s="31">
        <v>1.25</v>
      </c>
      <c r="I668" s="31">
        <v>1.3</v>
      </c>
      <c r="J668" s="31">
        <v>1.0777000000000001</v>
      </c>
      <c r="K668" s="52">
        <f t="shared" si="139"/>
        <v>93697.474755863994</v>
      </c>
      <c r="L668" s="52">
        <f t="shared" ref="L668:L689" si="184">K668+L667</f>
        <v>187394.94951172799</v>
      </c>
    </row>
    <row r="669" spans="1:12" ht="30" customHeight="1" x14ac:dyDescent="0.2">
      <c r="A669" s="27" t="s">
        <v>3165</v>
      </c>
      <c r="B669" s="27" t="s">
        <v>2246</v>
      </c>
      <c r="C669" s="27"/>
      <c r="D669" s="31">
        <f t="shared" si="183"/>
        <v>0.96600000000000008</v>
      </c>
      <c r="E669" s="52">
        <v>27126</v>
      </c>
      <c r="F669" s="31">
        <f t="shared" si="182"/>
        <v>1.6167060000000002</v>
      </c>
      <c r="G669" s="31">
        <v>1.22</v>
      </c>
      <c r="H669" s="31">
        <v>1.25</v>
      </c>
      <c r="I669" s="31">
        <v>1.3</v>
      </c>
      <c r="J669" s="31">
        <v>1.0777000000000001</v>
      </c>
      <c r="K669" s="52">
        <f t="shared" si="139"/>
        <v>93697.474755863994</v>
      </c>
      <c r="L669" s="52">
        <f t="shared" si="184"/>
        <v>281092.42426759197</v>
      </c>
    </row>
    <row r="670" spans="1:12" ht="30" customHeight="1" x14ac:dyDescent="0.2">
      <c r="A670" s="27" t="s">
        <v>3166</v>
      </c>
      <c r="B670" s="27" t="s">
        <v>2248</v>
      </c>
      <c r="C670" s="27"/>
      <c r="D670" s="31">
        <f t="shared" si="183"/>
        <v>1.3660000000000001</v>
      </c>
      <c r="E670" s="52">
        <v>27126</v>
      </c>
      <c r="F670" s="31">
        <f t="shared" si="182"/>
        <v>1.6167060000000002</v>
      </c>
      <c r="G670" s="31">
        <v>1.22</v>
      </c>
      <c r="H670" s="31">
        <v>1.25</v>
      </c>
      <c r="I670" s="31">
        <v>1.3</v>
      </c>
      <c r="J670" s="31">
        <v>1.0777000000000001</v>
      </c>
      <c r="K670" s="52">
        <f t="shared" si="139"/>
        <v>93697.474755863994</v>
      </c>
      <c r="L670" s="52">
        <f t="shared" si="184"/>
        <v>374789.89902345598</v>
      </c>
    </row>
    <row r="671" spans="1:12" ht="30" customHeight="1" x14ac:dyDescent="0.2">
      <c r="A671" s="27" t="s">
        <v>3167</v>
      </c>
      <c r="B671" s="27" t="s">
        <v>2250</v>
      </c>
      <c r="C671" s="27"/>
      <c r="D671" s="31">
        <f t="shared" si="183"/>
        <v>1.766</v>
      </c>
      <c r="E671" s="52">
        <v>27126</v>
      </c>
      <c r="F671" s="31">
        <f t="shared" si="182"/>
        <v>1.6167060000000002</v>
      </c>
      <c r="G671" s="31">
        <v>1.22</v>
      </c>
      <c r="H671" s="31">
        <v>1.25</v>
      </c>
      <c r="I671" s="31">
        <v>1.3</v>
      </c>
      <c r="J671" s="31">
        <v>1.0777000000000001</v>
      </c>
      <c r="K671" s="52">
        <f t="shared" si="139"/>
        <v>93697.474755863994</v>
      </c>
      <c r="L671" s="52">
        <f t="shared" si="184"/>
        <v>468487.37377931998</v>
      </c>
    </row>
    <row r="672" spans="1:12" ht="30" customHeight="1" x14ac:dyDescent="0.2">
      <c r="A672" s="27" t="s">
        <v>3168</v>
      </c>
      <c r="B672" s="27" t="s">
        <v>2291</v>
      </c>
      <c r="C672" s="27"/>
      <c r="D672" s="31">
        <f t="shared" si="183"/>
        <v>2.1659999999999999</v>
      </c>
      <c r="E672" s="52">
        <v>27126</v>
      </c>
      <c r="F672" s="31">
        <f t="shared" si="182"/>
        <v>1.6167060000000002</v>
      </c>
      <c r="G672" s="31">
        <v>1.22</v>
      </c>
      <c r="H672" s="31">
        <v>1.25</v>
      </c>
      <c r="I672" s="31">
        <v>1.3</v>
      </c>
      <c r="J672" s="31">
        <v>1.0777000000000001</v>
      </c>
      <c r="K672" s="52">
        <f t="shared" si="139"/>
        <v>93697.474755863994</v>
      </c>
      <c r="L672" s="52">
        <f t="shared" si="184"/>
        <v>562184.84853518393</v>
      </c>
    </row>
    <row r="673" spans="1:12" ht="30" customHeight="1" x14ac:dyDescent="0.2">
      <c r="A673" s="27" t="s">
        <v>3169</v>
      </c>
      <c r="B673" s="27" t="s">
        <v>2254</v>
      </c>
      <c r="C673" s="27"/>
      <c r="D673" s="31">
        <f t="shared" si="183"/>
        <v>2.5659999999999998</v>
      </c>
      <c r="E673" s="52">
        <v>27126</v>
      </c>
      <c r="F673" s="31">
        <f t="shared" si="182"/>
        <v>1.6167060000000002</v>
      </c>
      <c r="G673" s="31">
        <v>1.22</v>
      </c>
      <c r="H673" s="31">
        <v>1.25</v>
      </c>
      <c r="I673" s="31">
        <v>1.3</v>
      </c>
      <c r="J673" s="31">
        <v>1.0777000000000001</v>
      </c>
      <c r="K673" s="52">
        <f t="shared" si="139"/>
        <v>93697.474755863994</v>
      </c>
      <c r="L673" s="52">
        <f t="shared" si="184"/>
        <v>655882.32329104794</v>
      </c>
    </row>
    <row r="674" spans="1:12" ht="30" customHeight="1" x14ac:dyDescent="0.2">
      <c r="A674" s="27" t="s">
        <v>3170</v>
      </c>
      <c r="B674" s="27" t="s">
        <v>2256</v>
      </c>
      <c r="C674" s="27"/>
      <c r="D674" s="31">
        <f t="shared" si="183"/>
        <v>2.9659999999999997</v>
      </c>
      <c r="E674" s="52">
        <v>27126</v>
      </c>
      <c r="F674" s="31">
        <f t="shared" si="182"/>
        <v>1.6167060000000002</v>
      </c>
      <c r="G674" s="31">
        <v>1.22</v>
      </c>
      <c r="H674" s="31">
        <v>1.25</v>
      </c>
      <c r="I674" s="31">
        <v>1.3</v>
      </c>
      <c r="J674" s="31">
        <v>1.0777000000000001</v>
      </c>
      <c r="K674" s="52">
        <f t="shared" si="139"/>
        <v>93697.474755863994</v>
      </c>
      <c r="L674" s="52">
        <f t="shared" si="184"/>
        <v>749579.79804691195</v>
      </c>
    </row>
    <row r="675" spans="1:12" ht="30" customHeight="1" x14ac:dyDescent="0.2">
      <c r="A675" s="27" t="s">
        <v>3171</v>
      </c>
      <c r="B675" s="27" t="s">
        <v>2258</v>
      </c>
      <c r="C675" s="27"/>
      <c r="D675" s="31">
        <f t="shared" si="183"/>
        <v>3.3659999999999997</v>
      </c>
      <c r="E675" s="52">
        <v>27126</v>
      </c>
      <c r="F675" s="31">
        <f t="shared" si="182"/>
        <v>1.6167060000000002</v>
      </c>
      <c r="G675" s="31">
        <v>1.22</v>
      </c>
      <c r="H675" s="31">
        <v>1.25</v>
      </c>
      <c r="I675" s="31">
        <v>1.3</v>
      </c>
      <c r="J675" s="31">
        <v>1.0777000000000001</v>
      </c>
      <c r="K675" s="52">
        <f t="shared" si="139"/>
        <v>93697.474755863994</v>
      </c>
      <c r="L675" s="52">
        <f t="shared" si="184"/>
        <v>843277.27280277596</v>
      </c>
    </row>
    <row r="676" spans="1:12" ht="30" customHeight="1" x14ac:dyDescent="0.2">
      <c r="A676" s="27" t="s">
        <v>3172</v>
      </c>
      <c r="B676" s="27" t="s">
        <v>2260</v>
      </c>
      <c r="C676" s="27"/>
      <c r="D676" s="31">
        <f t="shared" si="183"/>
        <v>3.7659999999999996</v>
      </c>
      <c r="E676" s="52">
        <v>27126</v>
      </c>
      <c r="F676" s="31">
        <f t="shared" si="182"/>
        <v>1.6167060000000002</v>
      </c>
      <c r="G676" s="31">
        <v>1.22</v>
      </c>
      <c r="H676" s="31">
        <v>1.25</v>
      </c>
      <c r="I676" s="31">
        <v>1.3</v>
      </c>
      <c r="J676" s="31">
        <v>1.0777000000000001</v>
      </c>
      <c r="K676" s="52">
        <f t="shared" si="139"/>
        <v>93697.474755863994</v>
      </c>
      <c r="L676" s="52">
        <f t="shared" si="184"/>
        <v>936974.74755863997</v>
      </c>
    </row>
    <row r="677" spans="1:12" ht="30" customHeight="1" x14ac:dyDescent="0.2">
      <c r="A677" s="27" t="s">
        <v>3173</v>
      </c>
      <c r="B677" s="27" t="s">
        <v>2297</v>
      </c>
      <c r="C677" s="27"/>
      <c r="D677" s="31">
        <f t="shared" si="183"/>
        <v>4.1659999999999995</v>
      </c>
      <c r="E677" s="52">
        <v>27126</v>
      </c>
      <c r="F677" s="31">
        <f t="shared" si="182"/>
        <v>1.6167060000000002</v>
      </c>
      <c r="G677" s="31">
        <v>1.22</v>
      </c>
      <c r="H677" s="31">
        <v>1.25</v>
      </c>
      <c r="I677" s="31">
        <v>1.3</v>
      </c>
      <c r="J677" s="31">
        <v>1.0777000000000001</v>
      </c>
      <c r="K677" s="52">
        <f t="shared" si="139"/>
        <v>93697.474755863994</v>
      </c>
      <c r="L677" s="52">
        <f t="shared" si="184"/>
        <v>1030672.222314504</v>
      </c>
    </row>
    <row r="678" spans="1:12" ht="30" customHeight="1" x14ac:dyDescent="0.2">
      <c r="A678" s="27" t="s">
        <v>3174</v>
      </c>
      <c r="B678" s="27" t="s">
        <v>2264</v>
      </c>
      <c r="C678" s="27"/>
      <c r="D678" s="31">
        <f t="shared" si="183"/>
        <v>4.5659999999999998</v>
      </c>
      <c r="E678" s="52">
        <v>27126</v>
      </c>
      <c r="F678" s="31">
        <f t="shared" si="182"/>
        <v>1.6167060000000002</v>
      </c>
      <c r="G678" s="31">
        <v>1.22</v>
      </c>
      <c r="H678" s="31">
        <v>1.25</v>
      </c>
      <c r="I678" s="31">
        <v>1.3</v>
      </c>
      <c r="J678" s="31">
        <v>1.0777000000000001</v>
      </c>
      <c r="K678" s="52">
        <f t="shared" si="139"/>
        <v>93697.474755863994</v>
      </c>
      <c r="L678" s="52">
        <f t="shared" si="184"/>
        <v>1124369.6970703679</v>
      </c>
    </row>
    <row r="679" spans="1:12" ht="30" customHeight="1" x14ac:dyDescent="0.2">
      <c r="A679" s="27" t="s">
        <v>3175</v>
      </c>
      <c r="B679" s="27" t="s">
        <v>2266</v>
      </c>
      <c r="C679" s="27"/>
      <c r="D679" s="31">
        <f t="shared" si="183"/>
        <v>4.9660000000000002</v>
      </c>
      <c r="E679" s="52">
        <v>27126</v>
      </c>
      <c r="F679" s="31">
        <f t="shared" si="182"/>
        <v>1.6167060000000002</v>
      </c>
      <c r="G679" s="31">
        <v>1.22</v>
      </c>
      <c r="H679" s="31">
        <v>1.25</v>
      </c>
      <c r="I679" s="31">
        <v>1.3</v>
      </c>
      <c r="J679" s="31">
        <v>1.0777000000000001</v>
      </c>
      <c r="K679" s="52">
        <f t="shared" si="139"/>
        <v>93697.474755863994</v>
      </c>
      <c r="L679" s="52">
        <f t="shared" si="184"/>
        <v>1218067.1718262318</v>
      </c>
    </row>
    <row r="680" spans="1:12" ht="30" customHeight="1" x14ac:dyDescent="0.2">
      <c r="A680" s="27" t="s">
        <v>3176</v>
      </c>
      <c r="B680" s="27" t="s">
        <v>2414</v>
      </c>
      <c r="C680" s="27"/>
      <c r="D680" s="31">
        <f>D679+1.067</f>
        <v>6.0330000000000004</v>
      </c>
      <c r="E680" s="52">
        <v>27126</v>
      </c>
      <c r="F680" s="31">
        <f t="shared" si="182"/>
        <v>1.6167060000000002</v>
      </c>
      <c r="G680" s="31">
        <v>1.22</v>
      </c>
      <c r="H680" s="31">
        <v>1.25</v>
      </c>
      <c r="I680" s="31">
        <v>1.3</v>
      </c>
      <c r="J680" s="31">
        <v>1.0777000000000001</v>
      </c>
      <c r="K680" s="52">
        <f t="shared" si="139"/>
        <v>93697.474755863994</v>
      </c>
      <c r="L680" s="52">
        <f t="shared" si="184"/>
        <v>1311764.6465820957</v>
      </c>
    </row>
    <row r="681" spans="1:12" ht="30" customHeight="1" x14ac:dyDescent="0.2">
      <c r="A681" s="27" t="s">
        <v>3177</v>
      </c>
      <c r="B681" s="27" t="s">
        <v>2270</v>
      </c>
      <c r="C681" s="27"/>
      <c r="D681" s="31">
        <f t="shared" ref="D681:D684" si="185">D680+0.4</f>
        <v>6.4330000000000007</v>
      </c>
      <c r="E681" s="52">
        <v>27126</v>
      </c>
      <c r="F681" s="31">
        <f t="shared" si="182"/>
        <v>1.6167060000000002</v>
      </c>
      <c r="G681" s="31">
        <v>1.22</v>
      </c>
      <c r="H681" s="31">
        <v>1.25</v>
      </c>
      <c r="I681" s="31">
        <v>1.3</v>
      </c>
      <c r="J681" s="31">
        <v>1.0777000000000001</v>
      </c>
      <c r="K681" s="52">
        <f t="shared" si="139"/>
        <v>93697.474755863994</v>
      </c>
      <c r="L681" s="52">
        <f t="shared" si="184"/>
        <v>1405462.1213379595</v>
      </c>
    </row>
    <row r="682" spans="1:12" ht="30" customHeight="1" x14ac:dyDescent="0.2">
      <c r="A682" s="27" t="s">
        <v>3178</v>
      </c>
      <c r="B682" s="27" t="s">
        <v>2303</v>
      </c>
      <c r="C682" s="27"/>
      <c r="D682" s="31">
        <f t="shared" si="185"/>
        <v>6.8330000000000011</v>
      </c>
      <c r="E682" s="52">
        <v>27126</v>
      </c>
      <c r="F682" s="31">
        <f t="shared" si="182"/>
        <v>1.6167060000000002</v>
      </c>
      <c r="G682" s="31">
        <v>1.22</v>
      </c>
      <c r="H682" s="31">
        <v>1.25</v>
      </c>
      <c r="I682" s="31">
        <v>1.3</v>
      </c>
      <c r="J682" s="31">
        <v>1.0777000000000001</v>
      </c>
      <c r="K682" s="52">
        <f t="shared" si="139"/>
        <v>93697.474755863994</v>
      </c>
      <c r="L682" s="52">
        <f t="shared" si="184"/>
        <v>1499159.5960938234</v>
      </c>
    </row>
    <row r="683" spans="1:12" ht="30" customHeight="1" x14ac:dyDescent="0.2">
      <c r="A683" s="27" t="s">
        <v>3179</v>
      </c>
      <c r="B683" s="27" t="s">
        <v>2274</v>
      </c>
      <c r="C683" s="27"/>
      <c r="D683" s="31">
        <f t="shared" si="185"/>
        <v>7.2330000000000014</v>
      </c>
      <c r="E683" s="52">
        <v>27126</v>
      </c>
      <c r="F683" s="31">
        <f t="shared" si="182"/>
        <v>1.6167060000000002</v>
      </c>
      <c r="G683" s="31">
        <v>1.22</v>
      </c>
      <c r="H683" s="31">
        <v>1.25</v>
      </c>
      <c r="I683" s="31">
        <v>1.3</v>
      </c>
      <c r="J683" s="31">
        <v>1.0777000000000001</v>
      </c>
      <c r="K683" s="52">
        <f t="shared" si="139"/>
        <v>93697.474755863994</v>
      </c>
      <c r="L683" s="52">
        <f t="shared" si="184"/>
        <v>1592857.0708496873</v>
      </c>
    </row>
    <row r="684" spans="1:12" ht="30" customHeight="1" x14ac:dyDescent="0.2">
      <c r="A684" s="27" t="s">
        <v>3180</v>
      </c>
      <c r="B684" s="27" t="s">
        <v>2276</v>
      </c>
      <c r="C684" s="27"/>
      <c r="D684" s="31">
        <f t="shared" si="185"/>
        <v>7.6330000000000018</v>
      </c>
      <c r="E684" s="52">
        <v>27126</v>
      </c>
      <c r="F684" s="31">
        <f t="shared" si="182"/>
        <v>1.6167060000000002</v>
      </c>
      <c r="G684" s="31">
        <v>1.22</v>
      </c>
      <c r="H684" s="31">
        <v>1.25</v>
      </c>
      <c r="I684" s="31">
        <v>1.3</v>
      </c>
      <c r="J684" s="31">
        <v>1.0777000000000001</v>
      </c>
      <c r="K684" s="52">
        <f t="shared" si="139"/>
        <v>93697.474755863994</v>
      </c>
      <c r="L684" s="52">
        <f t="shared" si="184"/>
        <v>1686554.5456055512</v>
      </c>
    </row>
    <row r="685" spans="1:12" ht="30" customHeight="1" x14ac:dyDescent="0.2">
      <c r="A685" s="27" t="s">
        <v>3181</v>
      </c>
      <c r="B685" s="27" t="s">
        <v>2772</v>
      </c>
      <c r="C685" s="27"/>
      <c r="D685" s="31">
        <f>D684+1.067</f>
        <v>8.7000000000000011</v>
      </c>
      <c r="E685" s="52">
        <v>27126</v>
      </c>
      <c r="F685" s="31">
        <f t="shared" si="182"/>
        <v>1.6167060000000002</v>
      </c>
      <c r="G685" s="31">
        <v>1.22</v>
      </c>
      <c r="H685" s="31">
        <v>1.25</v>
      </c>
      <c r="I685" s="31">
        <v>1.3</v>
      </c>
      <c r="J685" s="31">
        <v>1.0777000000000001</v>
      </c>
      <c r="K685" s="52">
        <f t="shared" si="139"/>
        <v>93697.474755863994</v>
      </c>
      <c r="L685" s="52">
        <f t="shared" si="184"/>
        <v>1780252.0203614151</v>
      </c>
    </row>
    <row r="686" spans="1:12" ht="30" customHeight="1" x14ac:dyDescent="0.2">
      <c r="A686" s="27" t="s">
        <v>3182</v>
      </c>
      <c r="B686" s="27" t="s">
        <v>2280</v>
      </c>
      <c r="C686" s="27"/>
      <c r="D686" s="31">
        <f t="shared" ref="D686:D689" si="186">D685+0.4</f>
        <v>9.1000000000000014</v>
      </c>
      <c r="E686" s="52">
        <v>27126</v>
      </c>
      <c r="F686" s="31">
        <f t="shared" si="182"/>
        <v>1.6167060000000002</v>
      </c>
      <c r="G686" s="31">
        <v>1.22</v>
      </c>
      <c r="H686" s="31">
        <v>1.25</v>
      </c>
      <c r="I686" s="31">
        <v>1.3</v>
      </c>
      <c r="J686" s="31">
        <v>1.0777000000000001</v>
      </c>
      <c r="K686" s="52">
        <f t="shared" si="139"/>
        <v>93697.474755863994</v>
      </c>
      <c r="L686" s="52">
        <f t="shared" si="184"/>
        <v>1873949.495117279</v>
      </c>
    </row>
    <row r="687" spans="1:12" ht="30" customHeight="1" x14ac:dyDescent="0.2">
      <c r="A687" s="27" t="s">
        <v>3183</v>
      </c>
      <c r="B687" s="27" t="s">
        <v>2309</v>
      </c>
      <c r="C687" s="27"/>
      <c r="D687" s="31">
        <f t="shared" si="186"/>
        <v>9.5000000000000018</v>
      </c>
      <c r="E687" s="52">
        <v>27126</v>
      </c>
      <c r="F687" s="31">
        <f t="shared" si="182"/>
        <v>1.6167060000000002</v>
      </c>
      <c r="G687" s="31">
        <v>1.22</v>
      </c>
      <c r="H687" s="31">
        <v>1.25</v>
      </c>
      <c r="I687" s="31">
        <v>1.3</v>
      </c>
      <c r="J687" s="31">
        <v>1.0777000000000001</v>
      </c>
      <c r="K687" s="52">
        <f t="shared" si="139"/>
        <v>93697.474755863994</v>
      </c>
      <c r="L687" s="52">
        <f t="shared" si="184"/>
        <v>1967646.9698731429</v>
      </c>
    </row>
    <row r="688" spans="1:12" ht="30" customHeight="1" x14ac:dyDescent="0.2">
      <c r="A688" s="27" t="s">
        <v>3184</v>
      </c>
      <c r="B688" s="27" t="s">
        <v>2284</v>
      </c>
      <c r="C688" s="27"/>
      <c r="D688" s="31">
        <f t="shared" si="186"/>
        <v>9.9000000000000021</v>
      </c>
      <c r="E688" s="52">
        <v>27126</v>
      </c>
      <c r="F688" s="31">
        <f t="shared" si="182"/>
        <v>1.6167060000000002</v>
      </c>
      <c r="G688" s="31">
        <v>1.22</v>
      </c>
      <c r="H688" s="31">
        <v>1.25</v>
      </c>
      <c r="I688" s="31">
        <v>1.3</v>
      </c>
      <c r="J688" s="31">
        <v>1.0777000000000001</v>
      </c>
      <c r="K688" s="52">
        <f t="shared" si="139"/>
        <v>93697.474755863994</v>
      </c>
      <c r="L688" s="52">
        <f t="shared" si="184"/>
        <v>2061344.4446290068</v>
      </c>
    </row>
    <row r="689" spans="1:12" ht="30" customHeight="1" x14ac:dyDescent="0.2">
      <c r="A689" s="27" t="s">
        <v>3185</v>
      </c>
      <c r="B689" s="27" t="s">
        <v>2424</v>
      </c>
      <c r="C689" s="27"/>
      <c r="D689" s="31">
        <f t="shared" si="186"/>
        <v>10.300000000000002</v>
      </c>
      <c r="E689" s="52">
        <v>27126</v>
      </c>
      <c r="F689" s="31">
        <f t="shared" si="182"/>
        <v>1.6167060000000002</v>
      </c>
      <c r="G689" s="31">
        <v>1.22</v>
      </c>
      <c r="H689" s="31">
        <v>1.25</v>
      </c>
      <c r="I689" s="31">
        <v>1.3</v>
      </c>
      <c r="J689" s="31">
        <v>1.0777000000000001</v>
      </c>
      <c r="K689" s="52">
        <f t="shared" si="139"/>
        <v>93697.474755863994</v>
      </c>
      <c r="L689" s="52">
        <f t="shared" si="184"/>
        <v>2155041.9193848707</v>
      </c>
    </row>
    <row r="690" spans="1:12" ht="30" customHeight="1" x14ac:dyDescent="0.2">
      <c r="A690" s="27" t="s">
        <v>3186</v>
      </c>
      <c r="B690" s="27" t="s">
        <v>2242</v>
      </c>
      <c r="C690" s="27"/>
      <c r="D690" s="31">
        <v>0</v>
      </c>
      <c r="E690" s="52">
        <v>17604</v>
      </c>
      <c r="F690" s="31">
        <v>1.47</v>
      </c>
      <c r="G690" s="31">
        <v>1.22</v>
      </c>
      <c r="H690" s="31">
        <v>1.25</v>
      </c>
      <c r="I690" s="31">
        <v>1.3</v>
      </c>
      <c r="J690" s="31">
        <v>1.0777000000000001</v>
      </c>
      <c r="K690" s="52">
        <f t="shared" si="139"/>
        <v>55289.132204670008</v>
      </c>
      <c r="L690" s="52">
        <f>K690</f>
        <v>55289.132204670008</v>
      </c>
    </row>
    <row r="691" spans="1:12" ht="30" customHeight="1" x14ac:dyDescent="0.2">
      <c r="A691" s="27" t="s">
        <v>3187</v>
      </c>
      <c r="B691" s="27" t="s">
        <v>2244</v>
      </c>
      <c r="C691" s="27"/>
      <c r="D691" s="31">
        <f t="shared" ref="D691:D697" si="187">D690+0.433</f>
        <v>0.433</v>
      </c>
      <c r="E691" s="52">
        <v>17604</v>
      </c>
      <c r="F691" s="31">
        <v>1.47</v>
      </c>
      <c r="G691" s="31">
        <v>1.22</v>
      </c>
      <c r="H691" s="31">
        <v>1.25</v>
      </c>
      <c r="I691" s="31">
        <v>1.3</v>
      </c>
      <c r="J691" s="31">
        <v>1.0777000000000001</v>
      </c>
      <c r="K691" s="52">
        <f t="shared" si="139"/>
        <v>55289.132204670008</v>
      </c>
      <c r="L691" s="52">
        <f t="shared" ref="L691:L717" si="188">K691+L690</f>
        <v>110578.26440934002</v>
      </c>
    </row>
    <row r="692" spans="1:12" ht="30" customHeight="1" x14ac:dyDescent="0.2">
      <c r="A692" s="27" t="s">
        <v>3188</v>
      </c>
      <c r="B692" s="27" t="s">
        <v>2246</v>
      </c>
      <c r="C692" s="27"/>
      <c r="D692" s="31">
        <f t="shared" si="187"/>
        <v>0.86599999999999999</v>
      </c>
      <c r="E692" s="52">
        <v>17604</v>
      </c>
      <c r="F692" s="31">
        <v>1.47</v>
      </c>
      <c r="G692" s="31">
        <v>1.22</v>
      </c>
      <c r="H692" s="31">
        <v>1.25</v>
      </c>
      <c r="I692" s="31">
        <v>1.3</v>
      </c>
      <c r="J692" s="31">
        <v>1.0777000000000001</v>
      </c>
      <c r="K692" s="52">
        <f t="shared" si="139"/>
        <v>55289.132204670008</v>
      </c>
      <c r="L692" s="52">
        <f t="shared" si="188"/>
        <v>165867.39661401004</v>
      </c>
    </row>
    <row r="693" spans="1:12" ht="30" customHeight="1" x14ac:dyDescent="0.2">
      <c r="A693" s="27" t="s">
        <v>3189</v>
      </c>
      <c r="B693" s="27" t="s">
        <v>2248</v>
      </c>
      <c r="C693" s="27"/>
      <c r="D693" s="31">
        <f t="shared" si="187"/>
        <v>1.2989999999999999</v>
      </c>
      <c r="E693" s="52">
        <v>17604</v>
      </c>
      <c r="F693" s="31">
        <v>1.47</v>
      </c>
      <c r="G693" s="31">
        <v>1.22</v>
      </c>
      <c r="H693" s="31">
        <v>1.25</v>
      </c>
      <c r="I693" s="31">
        <v>1.3</v>
      </c>
      <c r="J693" s="31">
        <v>1.0777000000000001</v>
      </c>
      <c r="K693" s="52">
        <f t="shared" si="139"/>
        <v>55289.132204670008</v>
      </c>
      <c r="L693" s="52">
        <f t="shared" si="188"/>
        <v>221156.52881868003</v>
      </c>
    </row>
    <row r="694" spans="1:12" ht="30" customHeight="1" x14ac:dyDescent="0.2">
      <c r="A694" s="27" t="s">
        <v>3190</v>
      </c>
      <c r="B694" s="27" t="s">
        <v>2250</v>
      </c>
      <c r="C694" s="27"/>
      <c r="D694" s="31">
        <f t="shared" si="187"/>
        <v>1.732</v>
      </c>
      <c r="E694" s="52">
        <v>17604</v>
      </c>
      <c r="F694" s="31">
        <v>1.47</v>
      </c>
      <c r="G694" s="31">
        <v>1.22</v>
      </c>
      <c r="H694" s="31">
        <v>1.25</v>
      </c>
      <c r="I694" s="31">
        <v>1.3</v>
      </c>
      <c r="J694" s="31">
        <v>1.0777000000000001</v>
      </c>
      <c r="K694" s="52">
        <f t="shared" si="139"/>
        <v>55289.132204670008</v>
      </c>
      <c r="L694" s="52">
        <f t="shared" si="188"/>
        <v>276445.66102335003</v>
      </c>
    </row>
    <row r="695" spans="1:12" ht="30" customHeight="1" x14ac:dyDescent="0.2">
      <c r="A695" s="27" t="s">
        <v>3191</v>
      </c>
      <c r="B695" s="27" t="s">
        <v>2291</v>
      </c>
      <c r="C695" s="27"/>
      <c r="D695" s="31">
        <f t="shared" si="187"/>
        <v>2.165</v>
      </c>
      <c r="E695" s="52">
        <v>17604</v>
      </c>
      <c r="F695" s="31">
        <v>1.47</v>
      </c>
      <c r="G695" s="31">
        <v>1.22</v>
      </c>
      <c r="H695" s="31">
        <v>1.25</v>
      </c>
      <c r="I695" s="31">
        <v>1.3</v>
      </c>
      <c r="J695" s="31">
        <v>1.0777000000000001</v>
      </c>
      <c r="K695" s="52">
        <f t="shared" si="139"/>
        <v>55289.132204670008</v>
      </c>
      <c r="L695" s="52">
        <f t="shared" si="188"/>
        <v>331734.79322802002</v>
      </c>
    </row>
    <row r="696" spans="1:12" ht="30" customHeight="1" x14ac:dyDescent="0.2">
      <c r="A696" s="27" t="s">
        <v>3192</v>
      </c>
      <c r="B696" s="27" t="s">
        <v>2254</v>
      </c>
      <c r="C696" s="27"/>
      <c r="D696" s="31">
        <f t="shared" si="187"/>
        <v>2.5979999999999999</v>
      </c>
      <c r="E696" s="52">
        <v>17604</v>
      </c>
      <c r="F696" s="31">
        <v>1.47</v>
      </c>
      <c r="G696" s="31">
        <v>1.22</v>
      </c>
      <c r="H696" s="31">
        <v>1.25</v>
      </c>
      <c r="I696" s="31">
        <v>1.3</v>
      </c>
      <c r="J696" s="31">
        <v>1.0777000000000001</v>
      </c>
      <c r="K696" s="52">
        <f t="shared" si="139"/>
        <v>55289.132204670008</v>
      </c>
      <c r="L696" s="52">
        <f t="shared" si="188"/>
        <v>387023.92543269001</v>
      </c>
    </row>
    <row r="697" spans="1:12" ht="30" customHeight="1" x14ac:dyDescent="0.2">
      <c r="A697" s="27" t="s">
        <v>3193</v>
      </c>
      <c r="B697" s="27" t="s">
        <v>2256</v>
      </c>
      <c r="C697" s="27"/>
      <c r="D697" s="31">
        <f t="shared" si="187"/>
        <v>3.0309999999999997</v>
      </c>
      <c r="E697" s="52">
        <v>17604</v>
      </c>
      <c r="F697" s="31">
        <v>1.47</v>
      </c>
      <c r="G697" s="31">
        <v>1.22</v>
      </c>
      <c r="H697" s="31">
        <v>1.25</v>
      </c>
      <c r="I697" s="31">
        <v>1.3</v>
      </c>
      <c r="J697" s="31">
        <v>1.0777000000000001</v>
      </c>
      <c r="K697" s="52">
        <f t="shared" si="139"/>
        <v>55289.132204670008</v>
      </c>
      <c r="L697" s="52">
        <f t="shared" si="188"/>
        <v>442313.05763736001</v>
      </c>
    </row>
    <row r="698" spans="1:12" ht="30" customHeight="1" x14ac:dyDescent="0.2">
      <c r="A698" s="27" t="s">
        <v>3194</v>
      </c>
      <c r="B698" s="27" t="s">
        <v>3195</v>
      </c>
      <c r="C698" s="27"/>
      <c r="D698" s="31">
        <f>D697+0.9</f>
        <v>3.9309999999999996</v>
      </c>
      <c r="E698" s="52">
        <v>17604</v>
      </c>
      <c r="F698" s="31">
        <v>1.47</v>
      </c>
      <c r="G698" s="31">
        <v>1.22</v>
      </c>
      <c r="H698" s="31">
        <v>1.25</v>
      </c>
      <c r="I698" s="31">
        <v>1.3</v>
      </c>
      <c r="J698" s="31">
        <v>1.0777000000000001</v>
      </c>
      <c r="K698" s="52">
        <f t="shared" si="139"/>
        <v>55289.132204670008</v>
      </c>
      <c r="L698" s="52">
        <f t="shared" si="188"/>
        <v>497602.18984203</v>
      </c>
    </row>
    <row r="699" spans="1:12" ht="30" customHeight="1" x14ac:dyDescent="0.2">
      <c r="A699" s="27" t="s">
        <v>3196</v>
      </c>
      <c r="B699" s="27" t="s">
        <v>2260</v>
      </c>
      <c r="C699" s="27"/>
      <c r="D699" s="31">
        <f t="shared" ref="D699:D705" si="189">D698+0.433</f>
        <v>4.3639999999999999</v>
      </c>
      <c r="E699" s="52">
        <v>17604</v>
      </c>
      <c r="F699" s="31">
        <v>1.47</v>
      </c>
      <c r="G699" s="31">
        <v>1.22</v>
      </c>
      <c r="H699" s="31">
        <v>1.25</v>
      </c>
      <c r="I699" s="31">
        <v>1.3</v>
      </c>
      <c r="J699" s="31">
        <v>1.0777000000000001</v>
      </c>
      <c r="K699" s="52">
        <f t="shared" si="139"/>
        <v>55289.132204670008</v>
      </c>
      <c r="L699" s="52">
        <f t="shared" si="188"/>
        <v>552891.32204670005</v>
      </c>
    </row>
    <row r="700" spans="1:12" ht="30" customHeight="1" x14ac:dyDescent="0.2">
      <c r="A700" s="27" t="s">
        <v>3197</v>
      </c>
      <c r="B700" s="27" t="s">
        <v>2297</v>
      </c>
      <c r="C700" s="27"/>
      <c r="D700" s="31">
        <f t="shared" si="189"/>
        <v>4.7969999999999997</v>
      </c>
      <c r="E700" s="52">
        <v>17604</v>
      </c>
      <c r="F700" s="31">
        <v>1.47</v>
      </c>
      <c r="G700" s="31">
        <v>1.22</v>
      </c>
      <c r="H700" s="31">
        <v>1.25</v>
      </c>
      <c r="I700" s="31">
        <v>1.3</v>
      </c>
      <c r="J700" s="31">
        <v>1.0777000000000001</v>
      </c>
      <c r="K700" s="52">
        <f t="shared" si="139"/>
        <v>55289.132204670008</v>
      </c>
      <c r="L700" s="52">
        <f t="shared" si="188"/>
        <v>608180.45425137004</v>
      </c>
    </row>
    <row r="701" spans="1:12" ht="30" customHeight="1" x14ac:dyDescent="0.2">
      <c r="A701" s="27" t="s">
        <v>3198</v>
      </c>
      <c r="B701" s="27" t="s">
        <v>2264</v>
      </c>
      <c r="C701" s="27"/>
      <c r="D701" s="31">
        <f t="shared" si="189"/>
        <v>5.2299999999999995</v>
      </c>
      <c r="E701" s="52">
        <v>17604</v>
      </c>
      <c r="F701" s="31">
        <v>1.47</v>
      </c>
      <c r="G701" s="31">
        <v>1.22</v>
      </c>
      <c r="H701" s="31">
        <v>1.25</v>
      </c>
      <c r="I701" s="31">
        <v>1.3</v>
      </c>
      <c r="J701" s="31">
        <v>1.0777000000000001</v>
      </c>
      <c r="K701" s="52">
        <f t="shared" si="139"/>
        <v>55289.132204670008</v>
      </c>
      <c r="L701" s="52">
        <f t="shared" si="188"/>
        <v>663469.58645604004</v>
      </c>
    </row>
    <row r="702" spans="1:12" ht="30" customHeight="1" x14ac:dyDescent="0.2">
      <c r="A702" s="27" t="s">
        <v>3199</v>
      </c>
      <c r="B702" s="27" t="s">
        <v>2266</v>
      </c>
      <c r="C702" s="27"/>
      <c r="D702" s="31">
        <f t="shared" si="189"/>
        <v>5.6629999999999994</v>
      </c>
      <c r="E702" s="52">
        <v>17604</v>
      </c>
      <c r="F702" s="31">
        <v>1.47</v>
      </c>
      <c r="G702" s="31">
        <v>1.22</v>
      </c>
      <c r="H702" s="31">
        <v>1.25</v>
      </c>
      <c r="I702" s="31">
        <v>1.3</v>
      </c>
      <c r="J702" s="31">
        <v>1.0777000000000001</v>
      </c>
      <c r="K702" s="52">
        <f t="shared" si="139"/>
        <v>55289.132204670008</v>
      </c>
      <c r="L702" s="52">
        <f t="shared" si="188"/>
        <v>718758.71866071003</v>
      </c>
    </row>
    <row r="703" spans="1:12" ht="30" customHeight="1" x14ac:dyDescent="0.2">
      <c r="A703" s="27" t="s">
        <v>3200</v>
      </c>
      <c r="B703" s="27" t="s">
        <v>2268</v>
      </c>
      <c r="C703" s="27"/>
      <c r="D703" s="31">
        <f t="shared" si="189"/>
        <v>6.0959999999999992</v>
      </c>
      <c r="E703" s="52">
        <v>17604</v>
      </c>
      <c r="F703" s="31">
        <v>1.47</v>
      </c>
      <c r="G703" s="31">
        <v>1.22</v>
      </c>
      <c r="H703" s="31">
        <v>1.25</v>
      </c>
      <c r="I703" s="31">
        <v>1.3</v>
      </c>
      <c r="J703" s="31">
        <v>1.0777000000000001</v>
      </c>
      <c r="K703" s="52">
        <f t="shared" si="139"/>
        <v>55289.132204670008</v>
      </c>
      <c r="L703" s="52">
        <f t="shared" si="188"/>
        <v>774047.85086538002</v>
      </c>
    </row>
    <row r="704" spans="1:12" ht="30" customHeight="1" x14ac:dyDescent="0.2">
      <c r="A704" s="27" t="s">
        <v>3201</v>
      </c>
      <c r="B704" s="27" t="s">
        <v>2270</v>
      </c>
      <c r="C704" s="27"/>
      <c r="D704" s="31">
        <f t="shared" si="189"/>
        <v>6.528999999999999</v>
      </c>
      <c r="E704" s="52">
        <v>17604</v>
      </c>
      <c r="F704" s="31">
        <v>1.47</v>
      </c>
      <c r="G704" s="31">
        <v>1.22</v>
      </c>
      <c r="H704" s="31">
        <v>1.25</v>
      </c>
      <c r="I704" s="31">
        <v>1.3</v>
      </c>
      <c r="J704" s="31">
        <v>1.0777000000000001</v>
      </c>
      <c r="K704" s="52">
        <f t="shared" si="139"/>
        <v>55289.132204670008</v>
      </c>
      <c r="L704" s="52">
        <f t="shared" si="188"/>
        <v>829336.98307005002</v>
      </c>
    </row>
    <row r="705" spans="1:12" ht="30" customHeight="1" x14ac:dyDescent="0.2">
      <c r="A705" s="27" t="s">
        <v>3202</v>
      </c>
      <c r="B705" s="27" t="s">
        <v>2303</v>
      </c>
      <c r="C705" s="27"/>
      <c r="D705" s="31">
        <f t="shared" si="189"/>
        <v>6.9619999999999989</v>
      </c>
      <c r="E705" s="52">
        <v>17604</v>
      </c>
      <c r="F705" s="31">
        <v>1.47</v>
      </c>
      <c r="G705" s="31">
        <v>1.22</v>
      </c>
      <c r="H705" s="31">
        <v>1.25</v>
      </c>
      <c r="I705" s="31">
        <v>1.3</v>
      </c>
      <c r="J705" s="31">
        <v>1.0777000000000001</v>
      </c>
      <c r="K705" s="52">
        <f t="shared" si="139"/>
        <v>55289.132204670008</v>
      </c>
      <c r="L705" s="52">
        <f t="shared" si="188"/>
        <v>884626.11527472001</v>
      </c>
    </row>
    <row r="706" spans="1:12" ht="30" customHeight="1" x14ac:dyDescent="0.2">
      <c r="A706" s="27" t="s">
        <v>3203</v>
      </c>
      <c r="B706" s="27" t="s">
        <v>3204</v>
      </c>
      <c r="C706" s="27"/>
      <c r="D706" s="31">
        <f>D705+0.9</f>
        <v>7.8619999999999992</v>
      </c>
      <c r="E706" s="52">
        <v>17604</v>
      </c>
      <c r="F706" s="31">
        <v>1.47</v>
      </c>
      <c r="G706" s="31">
        <v>1.22</v>
      </c>
      <c r="H706" s="31">
        <v>1.25</v>
      </c>
      <c r="I706" s="31">
        <v>1.3</v>
      </c>
      <c r="J706" s="31">
        <v>1.0777000000000001</v>
      </c>
      <c r="K706" s="52">
        <f t="shared" si="139"/>
        <v>55289.132204670008</v>
      </c>
      <c r="L706" s="52">
        <f t="shared" si="188"/>
        <v>939915.24747939</v>
      </c>
    </row>
    <row r="707" spans="1:12" ht="30" customHeight="1" x14ac:dyDescent="0.2">
      <c r="A707" s="27" t="s">
        <v>3205</v>
      </c>
      <c r="B707" s="27" t="s">
        <v>2276</v>
      </c>
      <c r="C707" s="27"/>
      <c r="D707" s="31">
        <f t="shared" ref="D707:D713" si="190">D706+0.433</f>
        <v>8.2949999999999999</v>
      </c>
      <c r="E707" s="52">
        <v>17604</v>
      </c>
      <c r="F707" s="31">
        <v>1.47</v>
      </c>
      <c r="G707" s="31">
        <v>1.22</v>
      </c>
      <c r="H707" s="31">
        <v>1.25</v>
      </c>
      <c r="I707" s="31">
        <v>1.3</v>
      </c>
      <c r="J707" s="31">
        <v>1.0777000000000001</v>
      </c>
      <c r="K707" s="52">
        <f t="shared" si="139"/>
        <v>55289.132204670008</v>
      </c>
      <c r="L707" s="52">
        <f t="shared" si="188"/>
        <v>995204.37968406</v>
      </c>
    </row>
    <row r="708" spans="1:12" ht="30" customHeight="1" x14ac:dyDescent="0.2">
      <c r="A708" s="27" t="s">
        <v>3206</v>
      </c>
      <c r="B708" s="27" t="s">
        <v>2278</v>
      </c>
      <c r="C708" s="27"/>
      <c r="D708" s="31">
        <f t="shared" si="190"/>
        <v>8.7279999999999998</v>
      </c>
      <c r="E708" s="52">
        <v>17604</v>
      </c>
      <c r="F708" s="31">
        <v>1.47</v>
      </c>
      <c r="G708" s="31">
        <v>1.22</v>
      </c>
      <c r="H708" s="31">
        <v>1.25</v>
      </c>
      <c r="I708" s="31">
        <v>1.3</v>
      </c>
      <c r="J708" s="31">
        <v>1.0777000000000001</v>
      </c>
      <c r="K708" s="52">
        <f t="shared" si="139"/>
        <v>55289.132204670008</v>
      </c>
      <c r="L708" s="52">
        <f t="shared" si="188"/>
        <v>1050493.5118887301</v>
      </c>
    </row>
    <row r="709" spans="1:12" ht="30" customHeight="1" x14ac:dyDescent="0.2">
      <c r="A709" s="27" t="s">
        <v>3207</v>
      </c>
      <c r="B709" s="27" t="s">
        <v>2280</v>
      </c>
      <c r="C709" s="27"/>
      <c r="D709" s="31">
        <f t="shared" si="190"/>
        <v>9.1609999999999996</v>
      </c>
      <c r="E709" s="52">
        <v>17604</v>
      </c>
      <c r="F709" s="31">
        <v>1.47</v>
      </c>
      <c r="G709" s="31">
        <v>1.22</v>
      </c>
      <c r="H709" s="31">
        <v>1.25</v>
      </c>
      <c r="I709" s="31">
        <v>1.3</v>
      </c>
      <c r="J709" s="31">
        <v>1.0777000000000001</v>
      </c>
      <c r="K709" s="52">
        <f t="shared" si="139"/>
        <v>55289.132204670008</v>
      </c>
      <c r="L709" s="52">
        <f t="shared" si="188"/>
        <v>1105782.6440934001</v>
      </c>
    </row>
    <row r="710" spans="1:12" ht="30" customHeight="1" x14ac:dyDescent="0.2">
      <c r="A710" s="27" t="s">
        <v>3208</v>
      </c>
      <c r="B710" s="27" t="s">
        <v>2309</v>
      </c>
      <c r="C710" s="27"/>
      <c r="D710" s="31">
        <f t="shared" si="190"/>
        <v>9.5939999999999994</v>
      </c>
      <c r="E710" s="52">
        <v>17604</v>
      </c>
      <c r="F710" s="31">
        <v>1.47</v>
      </c>
      <c r="G710" s="31">
        <v>1.22</v>
      </c>
      <c r="H710" s="31">
        <v>1.25</v>
      </c>
      <c r="I710" s="31">
        <v>1.3</v>
      </c>
      <c r="J710" s="31">
        <v>1.0777000000000001</v>
      </c>
      <c r="K710" s="52">
        <f t="shared" si="139"/>
        <v>55289.132204670008</v>
      </c>
      <c r="L710" s="52">
        <f t="shared" si="188"/>
        <v>1161071.7762980701</v>
      </c>
    </row>
    <row r="711" spans="1:12" ht="30" customHeight="1" x14ac:dyDescent="0.2">
      <c r="A711" s="27" t="s">
        <v>3209</v>
      </c>
      <c r="B711" s="27" t="s">
        <v>2284</v>
      </c>
      <c r="C711" s="27"/>
      <c r="D711" s="31">
        <f t="shared" si="190"/>
        <v>10.026999999999999</v>
      </c>
      <c r="E711" s="52">
        <v>17604</v>
      </c>
      <c r="F711" s="31">
        <v>1.47</v>
      </c>
      <c r="G711" s="31">
        <v>1.22</v>
      </c>
      <c r="H711" s="31">
        <v>1.25</v>
      </c>
      <c r="I711" s="31">
        <v>1.3</v>
      </c>
      <c r="J711" s="31">
        <v>1.0777000000000001</v>
      </c>
      <c r="K711" s="52">
        <f t="shared" si="139"/>
        <v>55289.132204670008</v>
      </c>
      <c r="L711" s="52">
        <f t="shared" si="188"/>
        <v>1216360.9085027401</v>
      </c>
    </row>
    <row r="712" spans="1:12" ht="30" customHeight="1" x14ac:dyDescent="0.2">
      <c r="A712" s="27" t="s">
        <v>3210</v>
      </c>
      <c r="B712" s="27" t="s">
        <v>2424</v>
      </c>
      <c r="C712" s="27"/>
      <c r="D712" s="31">
        <f t="shared" si="190"/>
        <v>10.459999999999999</v>
      </c>
      <c r="E712" s="52">
        <v>17604</v>
      </c>
      <c r="F712" s="31">
        <v>1.47</v>
      </c>
      <c r="G712" s="31">
        <v>1.22</v>
      </c>
      <c r="H712" s="31">
        <v>1.25</v>
      </c>
      <c r="I712" s="31">
        <v>1.3</v>
      </c>
      <c r="J712" s="31">
        <v>1.0777000000000001</v>
      </c>
      <c r="K712" s="52">
        <f t="shared" si="139"/>
        <v>55289.132204670008</v>
      </c>
      <c r="L712" s="52">
        <f t="shared" si="188"/>
        <v>1271650.0407074101</v>
      </c>
    </row>
    <row r="713" spans="1:12" ht="30" customHeight="1" x14ac:dyDescent="0.2">
      <c r="A713" s="27" t="s">
        <v>3211</v>
      </c>
      <c r="B713" s="27" t="s">
        <v>2491</v>
      </c>
      <c r="C713" s="27"/>
      <c r="D713" s="31">
        <f t="shared" si="190"/>
        <v>10.892999999999999</v>
      </c>
      <c r="E713" s="52">
        <v>17604</v>
      </c>
      <c r="F713" s="31">
        <v>1.47</v>
      </c>
      <c r="G713" s="31">
        <v>1.22</v>
      </c>
      <c r="H713" s="31">
        <v>1.25</v>
      </c>
      <c r="I713" s="31">
        <v>1.3</v>
      </c>
      <c r="J713" s="31">
        <v>1.0777000000000001</v>
      </c>
      <c r="K713" s="52">
        <f t="shared" si="139"/>
        <v>55289.132204670008</v>
      </c>
      <c r="L713" s="52">
        <f t="shared" si="188"/>
        <v>1326939.1729120801</v>
      </c>
    </row>
    <row r="714" spans="1:12" ht="30" customHeight="1" x14ac:dyDescent="0.2">
      <c r="A714" s="27" t="s">
        <v>3212</v>
      </c>
      <c r="B714" s="27" t="s">
        <v>3213</v>
      </c>
      <c r="C714" s="27"/>
      <c r="D714" s="31">
        <f>D713+0.9</f>
        <v>11.792999999999999</v>
      </c>
      <c r="E714" s="52">
        <v>17604</v>
      </c>
      <c r="F714" s="31">
        <v>1.47</v>
      </c>
      <c r="G714" s="31">
        <v>1.22</v>
      </c>
      <c r="H714" s="31">
        <v>1.25</v>
      </c>
      <c r="I714" s="31">
        <v>1.3</v>
      </c>
      <c r="J714" s="31">
        <v>1.0777000000000001</v>
      </c>
      <c r="K714" s="52">
        <f t="shared" si="139"/>
        <v>55289.132204670008</v>
      </c>
      <c r="L714" s="52">
        <f t="shared" si="188"/>
        <v>1382228.3051167501</v>
      </c>
    </row>
    <row r="715" spans="1:12" ht="30" customHeight="1" x14ac:dyDescent="0.2">
      <c r="A715" s="27" t="s">
        <v>3214</v>
      </c>
      <c r="B715" s="27" t="s">
        <v>3100</v>
      </c>
      <c r="C715" s="27"/>
      <c r="D715" s="31">
        <f t="shared" ref="D715:D717" si="191">D714+0.433</f>
        <v>12.225999999999999</v>
      </c>
      <c r="E715" s="52">
        <v>17604</v>
      </c>
      <c r="F715" s="31">
        <v>1.47</v>
      </c>
      <c r="G715" s="31">
        <v>1.22</v>
      </c>
      <c r="H715" s="31">
        <v>1.25</v>
      </c>
      <c r="I715" s="31">
        <v>1.3</v>
      </c>
      <c r="J715" s="31">
        <v>1.0777000000000001</v>
      </c>
      <c r="K715" s="52">
        <f t="shared" si="139"/>
        <v>55289.132204670008</v>
      </c>
      <c r="L715" s="52">
        <f t="shared" si="188"/>
        <v>1437517.4373214201</v>
      </c>
    </row>
    <row r="716" spans="1:12" ht="30" customHeight="1" x14ac:dyDescent="0.2">
      <c r="A716" s="27" t="s">
        <v>3215</v>
      </c>
      <c r="B716" s="27" t="s">
        <v>3102</v>
      </c>
      <c r="C716" s="27"/>
      <c r="D716" s="31">
        <f t="shared" si="191"/>
        <v>12.658999999999999</v>
      </c>
      <c r="E716" s="52">
        <v>17604</v>
      </c>
      <c r="F716" s="31">
        <v>1.47</v>
      </c>
      <c r="G716" s="31">
        <v>1.22</v>
      </c>
      <c r="H716" s="31">
        <v>1.25</v>
      </c>
      <c r="I716" s="31">
        <v>1.3</v>
      </c>
      <c r="J716" s="31">
        <v>1.0777000000000001</v>
      </c>
      <c r="K716" s="52">
        <f t="shared" si="139"/>
        <v>55289.132204670008</v>
      </c>
      <c r="L716" s="52">
        <f t="shared" si="188"/>
        <v>1492806.5695260901</v>
      </c>
    </row>
    <row r="717" spans="1:12" ht="30" customHeight="1" x14ac:dyDescent="0.2">
      <c r="A717" s="27" t="s">
        <v>3216</v>
      </c>
      <c r="B717" s="27" t="s">
        <v>3104</v>
      </c>
      <c r="C717" s="27"/>
      <c r="D717" s="31">
        <f t="shared" si="191"/>
        <v>13.091999999999999</v>
      </c>
      <c r="E717" s="52">
        <v>17604</v>
      </c>
      <c r="F717" s="31">
        <v>1.47</v>
      </c>
      <c r="G717" s="31">
        <v>1.22</v>
      </c>
      <c r="H717" s="31">
        <v>1.25</v>
      </c>
      <c r="I717" s="31">
        <v>1.3</v>
      </c>
      <c r="J717" s="31">
        <v>1.0777000000000001</v>
      </c>
      <c r="K717" s="52">
        <f t="shared" si="139"/>
        <v>55289.132204670008</v>
      </c>
      <c r="L717" s="52">
        <f t="shared" si="188"/>
        <v>1548095.70173076</v>
      </c>
    </row>
    <row r="718" spans="1:12" ht="30" customHeight="1" x14ac:dyDescent="0.2">
      <c r="A718" s="27" t="s">
        <v>3217</v>
      </c>
      <c r="B718" s="27" t="s">
        <v>2242</v>
      </c>
      <c r="C718" s="27"/>
      <c r="D718" s="31">
        <v>1.1830000000000001</v>
      </c>
      <c r="E718" s="52">
        <f t="shared" ref="E718:E752" si="192">13686*1.15</f>
        <v>15738.9</v>
      </c>
      <c r="F718" s="31">
        <v>1.35</v>
      </c>
      <c r="G718" s="31">
        <v>1.22</v>
      </c>
      <c r="H718" s="31">
        <v>1.25</v>
      </c>
      <c r="I718" s="31">
        <v>1.3</v>
      </c>
      <c r="J718" s="31">
        <v>1.0777000000000001</v>
      </c>
      <c r="K718" s="52">
        <f t="shared" si="139"/>
        <v>45396.17100997876</v>
      </c>
      <c r="L718" s="52">
        <f>K718</f>
        <v>45396.17100997876</v>
      </c>
    </row>
    <row r="719" spans="1:12" ht="30" customHeight="1" x14ac:dyDescent="0.2">
      <c r="A719" s="27" t="s">
        <v>3218</v>
      </c>
      <c r="B719" s="27" t="s">
        <v>2244</v>
      </c>
      <c r="C719" s="27"/>
      <c r="D719" s="31">
        <f t="shared" ref="D719:D732" si="193">D718+0.433</f>
        <v>1.6160000000000001</v>
      </c>
      <c r="E719" s="52">
        <f t="shared" si="192"/>
        <v>15738.9</v>
      </c>
      <c r="F719" s="31">
        <v>1.35</v>
      </c>
      <c r="G719" s="31">
        <v>1.22</v>
      </c>
      <c r="H719" s="31">
        <v>1.25</v>
      </c>
      <c r="I719" s="31">
        <v>1.3</v>
      </c>
      <c r="J719" s="31">
        <v>1.0777000000000001</v>
      </c>
      <c r="K719" s="52">
        <f t="shared" si="139"/>
        <v>45396.17100997876</v>
      </c>
      <c r="L719" s="52">
        <f t="shared" ref="L719:L752" si="194">K719+L718</f>
        <v>90792.342019957519</v>
      </c>
    </row>
    <row r="720" spans="1:12" ht="30" customHeight="1" x14ac:dyDescent="0.2">
      <c r="A720" s="27" t="s">
        <v>3219</v>
      </c>
      <c r="B720" s="27" t="s">
        <v>2246</v>
      </c>
      <c r="C720" s="27"/>
      <c r="D720" s="31">
        <f t="shared" si="193"/>
        <v>2.0489999999999999</v>
      </c>
      <c r="E720" s="52">
        <f t="shared" si="192"/>
        <v>15738.9</v>
      </c>
      <c r="F720" s="31">
        <v>1.35</v>
      </c>
      <c r="G720" s="31">
        <v>1.22</v>
      </c>
      <c r="H720" s="31">
        <v>1.25</v>
      </c>
      <c r="I720" s="31">
        <v>1.3</v>
      </c>
      <c r="J720" s="31">
        <v>1.0777000000000001</v>
      </c>
      <c r="K720" s="52">
        <f t="shared" si="139"/>
        <v>45396.17100997876</v>
      </c>
      <c r="L720" s="52">
        <f t="shared" si="194"/>
        <v>136188.51302993629</v>
      </c>
    </row>
    <row r="721" spans="1:12" ht="30" customHeight="1" x14ac:dyDescent="0.2">
      <c r="A721" s="27" t="s">
        <v>3220</v>
      </c>
      <c r="B721" s="27" t="s">
        <v>2248</v>
      </c>
      <c r="C721" s="27"/>
      <c r="D721" s="31">
        <f t="shared" si="193"/>
        <v>2.4819999999999998</v>
      </c>
      <c r="E721" s="52">
        <f t="shared" si="192"/>
        <v>15738.9</v>
      </c>
      <c r="F721" s="31">
        <v>1.35</v>
      </c>
      <c r="G721" s="31">
        <v>1.22</v>
      </c>
      <c r="H721" s="31">
        <v>1.25</v>
      </c>
      <c r="I721" s="31">
        <v>1.3</v>
      </c>
      <c r="J721" s="31">
        <v>1.0777000000000001</v>
      </c>
      <c r="K721" s="52">
        <f t="shared" si="139"/>
        <v>45396.17100997876</v>
      </c>
      <c r="L721" s="52">
        <f t="shared" si="194"/>
        <v>181584.68403991504</v>
      </c>
    </row>
    <row r="722" spans="1:12" ht="30" customHeight="1" x14ac:dyDescent="0.2">
      <c r="A722" s="27" t="s">
        <v>3221</v>
      </c>
      <c r="B722" s="27" t="s">
        <v>2250</v>
      </c>
      <c r="C722" s="27"/>
      <c r="D722" s="31">
        <f t="shared" si="193"/>
        <v>2.9149999999999996</v>
      </c>
      <c r="E722" s="52">
        <f t="shared" si="192"/>
        <v>15738.9</v>
      </c>
      <c r="F722" s="31">
        <v>1.35</v>
      </c>
      <c r="G722" s="31">
        <v>1.22</v>
      </c>
      <c r="H722" s="31">
        <v>1.25</v>
      </c>
      <c r="I722" s="31">
        <v>1.3</v>
      </c>
      <c r="J722" s="31">
        <v>1.0777000000000001</v>
      </c>
      <c r="K722" s="52">
        <f t="shared" si="139"/>
        <v>45396.17100997876</v>
      </c>
      <c r="L722" s="52">
        <f t="shared" si="194"/>
        <v>226980.85504989378</v>
      </c>
    </row>
    <row r="723" spans="1:12" ht="30" customHeight="1" x14ac:dyDescent="0.2">
      <c r="A723" s="27" t="s">
        <v>3222</v>
      </c>
      <c r="B723" s="27" t="s">
        <v>2291</v>
      </c>
      <c r="C723" s="27"/>
      <c r="D723" s="31">
        <f t="shared" si="193"/>
        <v>3.3479999999999994</v>
      </c>
      <c r="E723" s="52">
        <f t="shared" si="192"/>
        <v>15738.9</v>
      </c>
      <c r="F723" s="31">
        <v>1.35</v>
      </c>
      <c r="G723" s="31">
        <v>1.22</v>
      </c>
      <c r="H723" s="31">
        <v>1.25</v>
      </c>
      <c r="I723" s="31">
        <v>1.3</v>
      </c>
      <c r="J723" s="31">
        <v>1.0777000000000001</v>
      </c>
      <c r="K723" s="52">
        <f t="shared" si="139"/>
        <v>45396.17100997876</v>
      </c>
      <c r="L723" s="52">
        <f t="shared" si="194"/>
        <v>272377.02605987253</v>
      </c>
    </row>
    <row r="724" spans="1:12" ht="30" customHeight="1" x14ac:dyDescent="0.2">
      <c r="A724" s="27" t="s">
        <v>3223</v>
      </c>
      <c r="B724" s="27" t="s">
        <v>2254</v>
      </c>
      <c r="C724" s="27"/>
      <c r="D724" s="31">
        <f t="shared" si="193"/>
        <v>3.7809999999999993</v>
      </c>
      <c r="E724" s="52">
        <f t="shared" si="192"/>
        <v>15738.9</v>
      </c>
      <c r="F724" s="31">
        <v>1.35</v>
      </c>
      <c r="G724" s="31">
        <v>1.22</v>
      </c>
      <c r="H724" s="31">
        <v>1.25</v>
      </c>
      <c r="I724" s="31">
        <v>1.3</v>
      </c>
      <c r="J724" s="31">
        <v>1.0777000000000001</v>
      </c>
      <c r="K724" s="52">
        <f t="shared" si="139"/>
        <v>45396.17100997876</v>
      </c>
      <c r="L724" s="52">
        <f t="shared" si="194"/>
        <v>317773.19706985127</v>
      </c>
    </row>
    <row r="725" spans="1:12" ht="30" customHeight="1" x14ac:dyDescent="0.2">
      <c r="A725" s="27" t="s">
        <v>3224</v>
      </c>
      <c r="B725" s="27" t="s">
        <v>2256</v>
      </c>
      <c r="C725" s="27"/>
      <c r="D725" s="31">
        <f t="shared" si="193"/>
        <v>4.2139999999999995</v>
      </c>
      <c r="E725" s="52">
        <f t="shared" si="192"/>
        <v>15738.9</v>
      </c>
      <c r="F725" s="31">
        <v>1.35</v>
      </c>
      <c r="G725" s="31">
        <v>1.22</v>
      </c>
      <c r="H725" s="31">
        <v>1.25</v>
      </c>
      <c r="I725" s="31">
        <v>1.3</v>
      </c>
      <c r="J725" s="31">
        <v>1.0777000000000001</v>
      </c>
      <c r="K725" s="52">
        <f t="shared" si="139"/>
        <v>45396.17100997876</v>
      </c>
      <c r="L725" s="52">
        <f t="shared" si="194"/>
        <v>363169.36807983002</v>
      </c>
    </row>
    <row r="726" spans="1:12" ht="30" customHeight="1" x14ac:dyDescent="0.2">
      <c r="A726" s="27" t="s">
        <v>3225</v>
      </c>
      <c r="B726" s="27" t="s">
        <v>2258</v>
      </c>
      <c r="C726" s="27"/>
      <c r="D726" s="31">
        <f t="shared" si="193"/>
        <v>4.6469999999999994</v>
      </c>
      <c r="E726" s="52">
        <f t="shared" si="192"/>
        <v>15738.9</v>
      </c>
      <c r="F726" s="31">
        <v>1.35</v>
      </c>
      <c r="G726" s="31">
        <v>1.22</v>
      </c>
      <c r="H726" s="31">
        <v>1.25</v>
      </c>
      <c r="I726" s="31">
        <v>1.3</v>
      </c>
      <c r="J726" s="31">
        <v>1.0777000000000001</v>
      </c>
      <c r="K726" s="52">
        <f t="shared" si="139"/>
        <v>45396.17100997876</v>
      </c>
      <c r="L726" s="52">
        <f t="shared" si="194"/>
        <v>408565.53908980876</v>
      </c>
    </row>
    <row r="727" spans="1:12" ht="30" customHeight="1" x14ac:dyDescent="0.2">
      <c r="A727" s="27" t="s">
        <v>3226</v>
      </c>
      <c r="B727" s="27" t="s">
        <v>2260</v>
      </c>
      <c r="C727" s="27"/>
      <c r="D727" s="31">
        <f t="shared" si="193"/>
        <v>5.0799999999999992</v>
      </c>
      <c r="E727" s="52">
        <f t="shared" si="192"/>
        <v>15738.9</v>
      </c>
      <c r="F727" s="31">
        <v>1.35</v>
      </c>
      <c r="G727" s="31">
        <v>1.22</v>
      </c>
      <c r="H727" s="31">
        <v>1.25</v>
      </c>
      <c r="I727" s="31">
        <v>1.3</v>
      </c>
      <c r="J727" s="31">
        <v>1.0777000000000001</v>
      </c>
      <c r="K727" s="52">
        <f t="shared" si="139"/>
        <v>45396.17100997876</v>
      </c>
      <c r="L727" s="52">
        <f t="shared" si="194"/>
        <v>453961.71009978751</v>
      </c>
    </row>
    <row r="728" spans="1:12" ht="30" customHeight="1" x14ac:dyDescent="0.2">
      <c r="A728" s="27" t="s">
        <v>3227</v>
      </c>
      <c r="B728" s="27" t="s">
        <v>2297</v>
      </c>
      <c r="C728" s="27"/>
      <c r="D728" s="31">
        <f t="shared" si="193"/>
        <v>5.512999999999999</v>
      </c>
      <c r="E728" s="52">
        <f t="shared" si="192"/>
        <v>15738.9</v>
      </c>
      <c r="F728" s="31">
        <v>1.35</v>
      </c>
      <c r="G728" s="31">
        <v>1.22</v>
      </c>
      <c r="H728" s="31">
        <v>1.25</v>
      </c>
      <c r="I728" s="31">
        <v>1.3</v>
      </c>
      <c r="J728" s="31">
        <v>1.0777000000000001</v>
      </c>
      <c r="K728" s="52">
        <f t="shared" si="139"/>
        <v>45396.17100997876</v>
      </c>
      <c r="L728" s="52">
        <f t="shared" si="194"/>
        <v>499357.88110976625</v>
      </c>
    </row>
    <row r="729" spans="1:12" ht="30" customHeight="1" x14ac:dyDescent="0.2">
      <c r="A729" s="27" t="s">
        <v>3228</v>
      </c>
      <c r="B729" s="27" t="s">
        <v>2264</v>
      </c>
      <c r="C729" s="27"/>
      <c r="D729" s="31">
        <f t="shared" si="193"/>
        <v>5.9459999999999988</v>
      </c>
      <c r="E729" s="52">
        <f t="shared" si="192"/>
        <v>15738.9</v>
      </c>
      <c r="F729" s="31">
        <v>1.35</v>
      </c>
      <c r="G729" s="31">
        <v>1.22</v>
      </c>
      <c r="H729" s="31">
        <v>1.25</v>
      </c>
      <c r="I729" s="31">
        <v>1.3</v>
      </c>
      <c r="J729" s="31">
        <v>1.0777000000000001</v>
      </c>
      <c r="K729" s="52">
        <f t="shared" si="139"/>
        <v>45396.17100997876</v>
      </c>
      <c r="L729" s="52">
        <f t="shared" si="194"/>
        <v>544754.05211974506</v>
      </c>
    </row>
    <row r="730" spans="1:12" ht="30" customHeight="1" x14ac:dyDescent="0.2">
      <c r="A730" s="27" t="s">
        <v>3229</v>
      </c>
      <c r="B730" s="27" t="s">
        <v>2266</v>
      </c>
      <c r="C730" s="27"/>
      <c r="D730" s="31">
        <f t="shared" si="193"/>
        <v>6.3789999999999987</v>
      </c>
      <c r="E730" s="52">
        <f t="shared" si="192"/>
        <v>15738.9</v>
      </c>
      <c r="F730" s="31">
        <v>1.35</v>
      </c>
      <c r="G730" s="31">
        <v>1.22</v>
      </c>
      <c r="H730" s="31">
        <v>1.25</v>
      </c>
      <c r="I730" s="31">
        <v>1.3</v>
      </c>
      <c r="J730" s="31">
        <v>1.0777000000000001</v>
      </c>
      <c r="K730" s="52">
        <f t="shared" si="139"/>
        <v>45396.17100997876</v>
      </c>
      <c r="L730" s="52">
        <f t="shared" si="194"/>
        <v>590150.2231297238</v>
      </c>
    </row>
    <row r="731" spans="1:12" ht="30" customHeight="1" x14ac:dyDescent="0.2">
      <c r="A731" s="27" t="s">
        <v>3230</v>
      </c>
      <c r="B731" s="27" t="s">
        <v>2268</v>
      </c>
      <c r="C731" s="27"/>
      <c r="D731" s="31">
        <f t="shared" si="193"/>
        <v>6.8119999999999985</v>
      </c>
      <c r="E731" s="52">
        <f t="shared" si="192"/>
        <v>15738.9</v>
      </c>
      <c r="F731" s="31">
        <v>1.35</v>
      </c>
      <c r="G731" s="31">
        <v>1.22</v>
      </c>
      <c r="H731" s="31">
        <v>1.25</v>
      </c>
      <c r="I731" s="31">
        <v>1.3</v>
      </c>
      <c r="J731" s="31">
        <v>1.0777000000000001</v>
      </c>
      <c r="K731" s="52">
        <f t="shared" ref="K731:K985" si="195">PRODUCT(E731:J731)</f>
        <v>45396.17100997876</v>
      </c>
      <c r="L731" s="52">
        <f t="shared" si="194"/>
        <v>635546.39413970255</v>
      </c>
    </row>
    <row r="732" spans="1:12" ht="30" customHeight="1" x14ac:dyDescent="0.2">
      <c r="A732" s="27" t="s">
        <v>3231</v>
      </c>
      <c r="B732" s="27" t="s">
        <v>2270</v>
      </c>
      <c r="C732" s="27"/>
      <c r="D732" s="31">
        <f t="shared" si="193"/>
        <v>7.2449999999999983</v>
      </c>
      <c r="E732" s="52">
        <f t="shared" si="192"/>
        <v>15738.9</v>
      </c>
      <c r="F732" s="31">
        <v>1.35</v>
      </c>
      <c r="G732" s="31">
        <v>1.22</v>
      </c>
      <c r="H732" s="31">
        <v>1.25</v>
      </c>
      <c r="I732" s="31">
        <v>1.3</v>
      </c>
      <c r="J732" s="31">
        <v>1.0777000000000001</v>
      </c>
      <c r="K732" s="52">
        <f t="shared" si="195"/>
        <v>45396.17100997876</v>
      </c>
      <c r="L732" s="52">
        <f t="shared" si="194"/>
        <v>680942.56514968129</v>
      </c>
    </row>
    <row r="733" spans="1:12" ht="30" customHeight="1" x14ac:dyDescent="0.2">
      <c r="A733" s="27" t="s">
        <v>3232</v>
      </c>
      <c r="B733" s="27" t="s">
        <v>2272</v>
      </c>
      <c r="C733" s="27"/>
      <c r="D733" s="31">
        <f>D732+0.8</f>
        <v>8.0449999999999982</v>
      </c>
      <c r="E733" s="52">
        <f t="shared" si="192"/>
        <v>15738.9</v>
      </c>
      <c r="F733" s="31">
        <v>1.35</v>
      </c>
      <c r="G733" s="31">
        <v>1.22</v>
      </c>
      <c r="H733" s="31">
        <v>1.25</v>
      </c>
      <c r="I733" s="31">
        <v>1.3</v>
      </c>
      <c r="J733" s="31">
        <v>1.0777000000000001</v>
      </c>
      <c r="K733" s="52">
        <f t="shared" si="195"/>
        <v>45396.17100997876</v>
      </c>
      <c r="L733" s="52">
        <f t="shared" si="194"/>
        <v>726338.73615966004</v>
      </c>
    </row>
    <row r="734" spans="1:12" ht="30" customHeight="1" x14ac:dyDescent="0.2">
      <c r="A734" s="27" t="s">
        <v>3233</v>
      </c>
      <c r="B734" s="27" t="s">
        <v>2274</v>
      </c>
      <c r="C734" s="27"/>
      <c r="D734" s="31">
        <f t="shared" ref="D734:D737" si="196">D733+0.433</f>
        <v>8.477999999999998</v>
      </c>
      <c r="E734" s="52">
        <f t="shared" si="192"/>
        <v>15738.9</v>
      </c>
      <c r="F734" s="31">
        <v>1.35</v>
      </c>
      <c r="G734" s="31">
        <v>1.22</v>
      </c>
      <c r="H734" s="31">
        <v>1.25</v>
      </c>
      <c r="I734" s="31">
        <v>1.3</v>
      </c>
      <c r="J734" s="31">
        <v>1.0777000000000001</v>
      </c>
      <c r="K734" s="52">
        <f t="shared" si="195"/>
        <v>45396.17100997876</v>
      </c>
      <c r="L734" s="52">
        <f t="shared" si="194"/>
        <v>771734.90716963878</v>
      </c>
    </row>
    <row r="735" spans="1:12" ht="30" customHeight="1" x14ac:dyDescent="0.2">
      <c r="A735" s="27" t="s">
        <v>3234</v>
      </c>
      <c r="B735" s="27" t="s">
        <v>2276</v>
      </c>
      <c r="C735" s="27"/>
      <c r="D735" s="31">
        <f t="shared" si="196"/>
        <v>8.9109999999999978</v>
      </c>
      <c r="E735" s="52">
        <f t="shared" si="192"/>
        <v>15738.9</v>
      </c>
      <c r="F735" s="31">
        <v>1.35</v>
      </c>
      <c r="G735" s="31">
        <v>1.22</v>
      </c>
      <c r="H735" s="31">
        <v>1.25</v>
      </c>
      <c r="I735" s="31">
        <v>1.3</v>
      </c>
      <c r="J735" s="31">
        <v>1.0777000000000001</v>
      </c>
      <c r="K735" s="52">
        <f t="shared" si="195"/>
        <v>45396.17100997876</v>
      </c>
      <c r="L735" s="52">
        <f t="shared" si="194"/>
        <v>817131.07817961753</v>
      </c>
    </row>
    <row r="736" spans="1:12" ht="30" customHeight="1" x14ac:dyDescent="0.2">
      <c r="A736" s="27" t="s">
        <v>3235</v>
      </c>
      <c r="B736" s="27" t="s">
        <v>2278</v>
      </c>
      <c r="C736" s="27"/>
      <c r="D736" s="31">
        <f t="shared" si="196"/>
        <v>9.3439999999999976</v>
      </c>
      <c r="E736" s="52">
        <f t="shared" si="192"/>
        <v>15738.9</v>
      </c>
      <c r="F736" s="31">
        <v>1.35</v>
      </c>
      <c r="G736" s="31">
        <v>1.22</v>
      </c>
      <c r="H736" s="31">
        <v>1.25</v>
      </c>
      <c r="I736" s="31">
        <v>1.3</v>
      </c>
      <c r="J736" s="31">
        <v>1.0777000000000001</v>
      </c>
      <c r="K736" s="52">
        <f t="shared" si="195"/>
        <v>45396.17100997876</v>
      </c>
      <c r="L736" s="52">
        <f t="shared" si="194"/>
        <v>862527.24918959627</v>
      </c>
    </row>
    <row r="737" spans="1:12" ht="30" customHeight="1" x14ac:dyDescent="0.2">
      <c r="A737" s="27" t="s">
        <v>3236</v>
      </c>
      <c r="B737" s="27" t="s">
        <v>2280</v>
      </c>
      <c r="C737" s="27"/>
      <c r="D737" s="31">
        <f t="shared" si="196"/>
        <v>9.7769999999999975</v>
      </c>
      <c r="E737" s="52">
        <f t="shared" si="192"/>
        <v>15738.9</v>
      </c>
      <c r="F737" s="31">
        <v>1.35</v>
      </c>
      <c r="G737" s="31">
        <v>1.22</v>
      </c>
      <c r="H737" s="31">
        <v>1.25</v>
      </c>
      <c r="I737" s="31">
        <v>1.3</v>
      </c>
      <c r="J737" s="31">
        <v>1.0777000000000001</v>
      </c>
      <c r="K737" s="52">
        <f t="shared" si="195"/>
        <v>45396.17100997876</v>
      </c>
      <c r="L737" s="52">
        <f t="shared" si="194"/>
        <v>907923.42019957502</v>
      </c>
    </row>
    <row r="738" spans="1:12" ht="30" customHeight="1" x14ac:dyDescent="0.2">
      <c r="A738" s="27" t="s">
        <v>3237</v>
      </c>
      <c r="B738" s="27" t="s">
        <v>3238</v>
      </c>
      <c r="C738" s="27"/>
      <c r="D738" s="31">
        <f>D737+1.866+1.18366</f>
        <v>12.826659999999997</v>
      </c>
      <c r="E738" s="52">
        <f t="shared" si="192"/>
        <v>15738.9</v>
      </c>
      <c r="F738" s="31">
        <v>1.35</v>
      </c>
      <c r="G738" s="31">
        <v>1.22</v>
      </c>
      <c r="H738" s="31">
        <v>1.25</v>
      </c>
      <c r="I738" s="31">
        <v>1.3</v>
      </c>
      <c r="J738" s="31">
        <v>1.0777000000000001</v>
      </c>
      <c r="K738" s="52">
        <f t="shared" si="195"/>
        <v>45396.17100997876</v>
      </c>
      <c r="L738" s="52">
        <f t="shared" si="194"/>
        <v>953319.59120955376</v>
      </c>
    </row>
    <row r="739" spans="1:12" ht="30" customHeight="1" x14ac:dyDescent="0.2">
      <c r="A739" s="27" t="s">
        <v>3239</v>
      </c>
      <c r="B739" s="27" t="s">
        <v>2284</v>
      </c>
      <c r="C739" s="27"/>
      <c r="D739" s="31">
        <f t="shared" ref="D739:D752" si="197">D738+0.433</f>
        <v>13.259659999999997</v>
      </c>
      <c r="E739" s="52">
        <f t="shared" si="192"/>
        <v>15738.9</v>
      </c>
      <c r="F739" s="31">
        <v>1.35</v>
      </c>
      <c r="G739" s="31">
        <v>1.22</v>
      </c>
      <c r="H739" s="31">
        <v>1.25</v>
      </c>
      <c r="I739" s="31">
        <v>1.3</v>
      </c>
      <c r="J739" s="31">
        <v>1.0777000000000001</v>
      </c>
      <c r="K739" s="52">
        <f t="shared" si="195"/>
        <v>45396.17100997876</v>
      </c>
      <c r="L739" s="52">
        <f t="shared" si="194"/>
        <v>998715.76221953251</v>
      </c>
    </row>
    <row r="740" spans="1:12" ht="30" customHeight="1" x14ac:dyDescent="0.2">
      <c r="A740" s="27" t="s">
        <v>3240</v>
      </c>
      <c r="B740" s="27" t="s">
        <v>2424</v>
      </c>
      <c r="C740" s="27"/>
      <c r="D740" s="31">
        <f t="shared" si="197"/>
        <v>13.692659999999997</v>
      </c>
      <c r="E740" s="52">
        <f t="shared" si="192"/>
        <v>15738.9</v>
      </c>
      <c r="F740" s="31">
        <v>1.35</v>
      </c>
      <c r="G740" s="31">
        <v>1.22</v>
      </c>
      <c r="H740" s="31">
        <v>1.25</v>
      </c>
      <c r="I740" s="31">
        <v>1.3</v>
      </c>
      <c r="J740" s="31">
        <v>1.0777000000000001</v>
      </c>
      <c r="K740" s="52">
        <f t="shared" si="195"/>
        <v>45396.17100997876</v>
      </c>
      <c r="L740" s="52">
        <f t="shared" si="194"/>
        <v>1044111.9332295113</v>
      </c>
    </row>
    <row r="741" spans="1:12" ht="30" customHeight="1" x14ac:dyDescent="0.2">
      <c r="A741" s="27" t="s">
        <v>3241</v>
      </c>
      <c r="B741" s="27" t="s">
        <v>2491</v>
      </c>
      <c r="C741" s="27"/>
      <c r="D741" s="31">
        <f t="shared" si="197"/>
        <v>14.125659999999996</v>
      </c>
      <c r="E741" s="52">
        <f t="shared" si="192"/>
        <v>15738.9</v>
      </c>
      <c r="F741" s="31">
        <v>1.35</v>
      </c>
      <c r="G741" s="31">
        <v>1.22</v>
      </c>
      <c r="H741" s="31">
        <v>1.25</v>
      </c>
      <c r="I741" s="31">
        <v>1.3</v>
      </c>
      <c r="J741" s="31">
        <v>1.0777000000000001</v>
      </c>
      <c r="K741" s="52">
        <f t="shared" si="195"/>
        <v>45396.17100997876</v>
      </c>
      <c r="L741" s="52">
        <f t="shared" si="194"/>
        <v>1089508.1042394901</v>
      </c>
    </row>
    <row r="742" spans="1:12" ht="30" customHeight="1" x14ac:dyDescent="0.2">
      <c r="A742" s="27" t="s">
        <v>3242</v>
      </c>
      <c r="B742" s="27" t="s">
        <v>3098</v>
      </c>
      <c r="C742" s="27"/>
      <c r="D742" s="31">
        <f t="shared" si="197"/>
        <v>14.558659999999996</v>
      </c>
      <c r="E742" s="52">
        <f t="shared" si="192"/>
        <v>15738.9</v>
      </c>
      <c r="F742" s="31">
        <v>1.35</v>
      </c>
      <c r="G742" s="31">
        <v>1.22</v>
      </c>
      <c r="H742" s="31">
        <v>1.25</v>
      </c>
      <c r="I742" s="31">
        <v>1.3</v>
      </c>
      <c r="J742" s="31">
        <v>1.0777000000000001</v>
      </c>
      <c r="K742" s="52">
        <f t="shared" si="195"/>
        <v>45396.17100997876</v>
      </c>
      <c r="L742" s="52">
        <f t="shared" si="194"/>
        <v>1134904.2752494689</v>
      </c>
    </row>
    <row r="743" spans="1:12" ht="30" customHeight="1" x14ac:dyDescent="0.2">
      <c r="A743" s="27" t="s">
        <v>3243</v>
      </c>
      <c r="B743" s="27" t="s">
        <v>3100</v>
      </c>
      <c r="C743" s="27"/>
      <c r="D743" s="31">
        <f t="shared" si="197"/>
        <v>14.991659999999996</v>
      </c>
      <c r="E743" s="52">
        <f t="shared" si="192"/>
        <v>15738.9</v>
      </c>
      <c r="F743" s="31">
        <v>1.35</v>
      </c>
      <c r="G743" s="31">
        <v>1.22</v>
      </c>
      <c r="H743" s="31">
        <v>1.25</v>
      </c>
      <c r="I743" s="31">
        <v>1.3</v>
      </c>
      <c r="J743" s="31">
        <v>1.0777000000000001</v>
      </c>
      <c r="K743" s="52">
        <f t="shared" si="195"/>
        <v>45396.17100997876</v>
      </c>
      <c r="L743" s="52">
        <f t="shared" si="194"/>
        <v>1180300.4462594476</v>
      </c>
    </row>
    <row r="744" spans="1:12" ht="30" customHeight="1" x14ac:dyDescent="0.2">
      <c r="A744" s="27" t="s">
        <v>3244</v>
      </c>
      <c r="B744" s="27" t="s">
        <v>3102</v>
      </c>
      <c r="C744" s="27"/>
      <c r="D744" s="31">
        <f t="shared" si="197"/>
        <v>15.424659999999996</v>
      </c>
      <c r="E744" s="52">
        <f t="shared" si="192"/>
        <v>15738.9</v>
      </c>
      <c r="F744" s="31">
        <v>1.35</v>
      </c>
      <c r="G744" s="31">
        <v>1.22</v>
      </c>
      <c r="H744" s="31">
        <v>1.25</v>
      </c>
      <c r="I744" s="31">
        <v>1.3</v>
      </c>
      <c r="J744" s="31">
        <v>1.0777000000000001</v>
      </c>
      <c r="K744" s="52">
        <f t="shared" si="195"/>
        <v>45396.17100997876</v>
      </c>
      <c r="L744" s="52">
        <f t="shared" si="194"/>
        <v>1225696.6172694264</v>
      </c>
    </row>
    <row r="745" spans="1:12" ht="30" customHeight="1" x14ac:dyDescent="0.2">
      <c r="A745" s="27" t="s">
        <v>3245</v>
      </c>
      <c r="B745" s="27" t="s">
        <v>3104</v>
      </c>
      <c r="C745" s="27"/>
      <c r="D745" s="31">
        <f t="shared" si="197"/>
        <v>15.857659999999996</v>
      </c>
      <c r="E745" s="52">
        <f t="shared" si="192"/>
        <v>15738.9</v>
      </c>
      <c r="F745" s="31">
        <v>1.35</v>
      </c>
      <c r="G745" s="31">
        <v>1.22</v>
      </c>
      <c r="H745" s="31">
        <v>1.25</v>
      </c>
      <c r="I745" s="31">
        <v>1.3</v>
      </c>
      <c r="J745" s="31">
        <v>1.0777000000000001</v>
      </c>
      <c r="K745" s="52">
        <f t="shared" si="195"/>
        <v>45396.17100997876</v>
      </c>
      <c r="L745" s="52">
        <f t="shared" si="194"/>
        <v>1271092.7882794051</v>
      </c>
    </row>
    <row r="746" spans="1:12" ht="30" customHeight="1" x14ac:dyDescent="0.2">
      <c r="A746" s="27" t="s">
        <v>3246</v>
      </c>
      <c r="B746" s="27" t="s">
        <v>3106</v>
      </c>
      <c r="C746" s="27"/>
      <c r="D746" s="31">
        <f t="shared" si="197"/>
        <v>16.290659999999995</v>
      </c>
      <c r="E746" s="52">
        <f t="shared" si="192"/>
        <v>15738.9</v>
      </c>
      <c r="F746" s="31">
        <v>1.35</v>
      </c>
      <c r="G746" s="31">
        <v>1.22</v>
      </c>
      <c r="H746" s="31">
        <v>1.25</v>
      </c>
      <c r="I746" s="31">
        <v>1.3</v>
      </c>
      <c r="J746" s="31">
        <v>1.0777000000000001</v>
      </c>
      <c r="K746" s="52">
        <f t="shared" si="195"/>
        <v>45396.17100997876</v>
      </c>
      <c r="L746" s="52">
        <f t="shared" si="194"/>
        <v>1316488.9592893838</v>
      </c>
    </row>
    <row r="747" spans="1:12" ht="30" customHeight="1" x14ac:dyDescent="0.2">
      <c r="A747" s="27" t="s">
        <v>3247</v>
      </c>
      <c r="B747" s="27" t="s">
        <v>3108</v>
      </c>
      <c r="C747" s="27"/>
      <c r="D747" s="31">
        <f t="shared" si="197"/>
        <v>16.723659999999995</v>
      </c>
      <c r="E747" s="52">
        <f t="shared" si="192"/>
        <v>15738.9</v>
      </c>
      <c r="F747" s="31">
        <v>1.35</v>
      </c>
      <c r="G747" s="31">
        <v>1.22</v>
      </c>
      <c r="H747" s="31">
        <v>1.25</v>
      </c>
      <c r="I747" s="31">
        <v>1.3</v>
      </c>
      <c r="J747" s="31">
        <v>1.0777000000000001</v>
      </c>
      <c r="K747" s="52">
        <f t="shared" si="195"/>
        <v>45396.17100997876</v>
      </c>
      <c r="L747" s="52">
        <f t="shared" si="194"/>
        <v>1361885.1302993626</v>
      </c>
    </row>
    <row r="748" spans="1:12" ht="30" customHeight="1" x14ac:dyDescent="0.2">
      <c r="A748" s="27" t="s">
        <v>3248</v>
      </c>
      <c r="B748" s="27" t="s">
        <v>3110</v>
      </c>
      <c r="C748" s="27"/>
      <c r="D748" s="31">
        <f t="shared" si="197"/>
        <v>17.156659999999995</v>
      </c>
      <c r="E748" s="52">
        <f t="shared" si="192"/>
        <v>15738.9</v>
      </c>
      <c r="F748" s="31">
        <v>1.35</v>
      </c>
      <c r="G748" s="31">
        <v>1.22</v>
      </c>
      <c r="H748" s="31">
        <v>1.25</v>
      </c>
      <c r="I748" s="31">
        <v>1.3</v>
      </c>
      <c r="J748" s="31">
        <v>1.0777000000000001</v>
      </c>
      <c r="K748" s="52">
        <f t="shared" si="195"/>
        <v>45396.17100997876</v>
      </c>
      <c r="L748" s="52">
        <f t="shared" si="194"/>
        <v>1407281.3013093413</v>
      </c>
    </row>
    <row r="749" spans="1:12" ht="30" customHeight="1" x14ac:dyDescent="0.2">
      <c r="A749" s="27" t="s">
        <v>3249</v>
      </c>
      <c r="B749" s="27" t="s">
        <v>3112</v>
      </c>
      <c r="C749" s="27"/>
      <c r="D749" s="31">
        <f t="shared" si="197"/>
        <v>17.589659999999995</v>
      </c>
      <c r="E749" s="52">
        <f t="shared" si="192"/>
        <v>15738.9</v>
      </c>
      <c r="F749" s="31">
        <v>1.35</v>
      </c>
      <c r="G749" s="31">
        <v>1.22</v>
      </c>
      <c r="H749" s="31">
        <v>1.25</v>
      </c>
      <c r="I749" s="31">
        <v>1.3</v>
      </c>
      <c r="J749" s="31">
        <v>1.0777000000000001</v>
      </c>
      <c r="K749" s="52">
        <f t="shared" si="195"/>
        <v>45396.17100997876</v>
      </c>
      <c r="L749" s="52">
        <f t="shared" si="194"/>
        <v>1452677.4723193201</v>
      </c>
    </row>
    <row r="750" spans="1:12" ht="30" customHeight="1" x14ac:dyDescent="0.2">
      <c r="A750" s="27" t="s">
        <v>3250</v>
      </c>
      <c r="B750" s="27" t="s">
        <v>3114</v>
      </c>
      <c r="C750" s="27"/>
      <c r="D750" s="31">
        <f t="shared" si="197"/>
        <v>18.022659999999995</v>
      </c>
      <c r="E750" s="52">
        <f t="shared" si="192"/>
        <v>15738.9</v>
      </c>
      <c r="F750" s="31">
        <v>1.35</v>
      </c>
      <c r="G750" s="31">
        <v>1.22</v>
      </c>
      <c r="H750" s="31">
        <v>1.25</v>
      </c>
      <c r="I750" s="31">
        <v>1.3</v>
      </c>
      <c r="J750" s="31">
        <v>1.0777000000000001</v>
      </c>
      <c r="K750" s="52">
        <f t="shared" si="195"/>
        <v>45396.17100997876</v>
      </c>
      <c r="L750" s="52">
        <f t="shared" si="194"/>
        <v>1498073.6433292988</v>
      </c>
    </row>
    <row r="751" spans="1:12" ht="30" customHeight="1" x14ac:dyDescent="0.2">
      <c r="A751" s="27" t="s">
        <v>3251</v>
      </c>
      <c r="B751" s="27" t="s">
        <v>3116</v>
      </c>
      <c r="C751" s="27"/>
      <c r="D751" s="31">
        <f t="shared" si="197"/>
        <v>18.455659999999995</v>
      </c>
      <c r="E751" s="52">
        <f t="shared" si="192"/>
        <v>15738.9</v>
      </c>
      <c r="F751" s="31">
        <v>1.35</v>
      </c>
      <c r="G751" s="31">
        <v>1.22</v>
      </c>
      <c r="H751" s="31">
        <v>1.25</v>
      </c>
      <c r="I751" s="31">
        <v>1.3</v>
      </c>
      <c r="J751" s="31">
        <v>1.0777000000000001</v>
      </c>
      <c r="K751" s="52">
        <f t="shared" si="195"/>
        <v>45396.17100997876</v>
      </c>
      <c r="L751" s="52">
        <f t="shared" si="194"/>
        <v>1543469.8143392776</v>
      </c>
    </row>
    <row r="752" spans="1:12" ht="30" customHeight="1" x14ac:dyDescent="0.2">
      <c r="A752" s="27" t="s">
        <v>3252</v>
      </c>
      <c r="B752" s="27" t="s">
        <v>3253</v>
      </c>
      <c r="C752" s="27"/>
      <c r="D752" s="31">
        <f t="shared" si="197"/>
        <v>18.888659999999994</v>
      </c>
      <c r="E752" s="52">
        <f t="shared" si="192"/>
        <v>15738.9</v>
      </c>
      <c r="F752" s="31">
        <v>1.35</v>
      </c>
      <c r="G752" s="31">
        <v>1.22</v>
      </c>
      <c r="H752" s="31">
        <v>1.25</v>
      </c>
      <c r="I752" s="31">
        <v>1.3</v>
      </c>
      <c r="J752" s="31">
        <v>1.0777000000000001</v>
      </c>
      <c r="K752" s="52">
        <f t="shared" si="195"/>
        <v>45396.17100997876</v>
      </c>
      <c r="L752" s="52">
        <f t="shared" si="194"/>
        <v>1588865.9853492563</v>
      </c>
    </row>
    <row r="753" spans="1:12" ht="30" customHeight="1" x14ac:dyDescent="0.2">
      <c r="A753" s="27" t="s">
        <v>3254</v>
      </c>
      <c r="B753" s="27" t="s">
        <v>2779</v>
      </c>
      <c r="C753" s="27"/>
      <c r="D753" s="31">
        <v>12.667</v>
      </c>
      <c r="E753" s="52">
        <v>591238</v>
      </c>
      <c r="F753" s="31"/>
      <c r="G753" s="31">
        <v>1.22</v>
      </c>
      <c r="H753" s="31">
        <v>1.25</v>
      </c>
      <c r="I753" s="31">
        <v>1.3</v>
      </c>
      <c r="J753" s="31">
        <v>1.0777000000000001</v>
      </c>
      <c r="K753" s="52">
        <f t="shared" si="195"/>
        <v>1263203.7843295</v>
      </c>
      <c r="L753" s="52">
        <f>K753</f>
        <v>1263203.7843295</v>
      </c>
    </row>
    <row r="754" spans="1:12" ht="30" customHeight="1" x14ac:dyDescent="0.2">
      <c r="A754" s="27" t="s">
        <v>3255</v>
      </c>
      <c r="B754" s="27" t="s">
        <v>2781</v>
      </c>
      <c r="C754" s="27"/>
      <c r="D754" s="31">
        <f t="shared" ref="D754:D758" si="198">D753+1.334+12.667</f>
        <v>26.667999999999999</v>
      </c>
      <c r="E754" s="52">
        <v>591238</v>
      </c>
      <c r="F754" s="31"/>
      <c r="G754" s="31">
        <v>1.22</v>
      </c>
      <c r="H754" s="31">
        <v>1.25</v>
      </c>
      <c r="I754" s="31">
        <v>1.3</v>
      </c>
      <c r="J754" s="31">
        <v>1.0777000000000001</v>
      </c>
      <c r="K754" s="52">
        <f t="shared" si="195"/>
        <v>1263203.7843295</v>
      </c>
      <c r="L754" s="52">
        <f t="shared" ref="L754:L759" si="199">K754+L753</f>
        <v>2526407.5686590001</v>
      </c>
    </row>
    <row r="755" spans="1:12" ht="30" customHeight="1" x14ac:dyDescent="0.2">
      <c r="A755" s="27" t="s">
        <v>3256</v>
      </c>
      <c r="B755" s="27" t="s">
        <v>2783</v>
      </c>
      <c r="C755" s="27"/>
      <c r="D755" s="31">
        <f t="shared" si="198"/>
        <v>40.668999999999997</v>
      </c>
      <c r="E755" s="52">
        <v>591238</v>
      </c>
      <c r="F755" s="31"/>
      <c r="G755" s="31">
        <v>1.22</v>
      </c>
      <c r="H755" s="31">
        <v>1.25</v>
      </c>
      <c r="I755" s="31">
        <v>1.3</v>
      </c>
      <c r="J755" s="31">
        <v>1.0777000000000001</v>
      </c>
      <c r="K755" s="52">
        <f t="shared" si="195"/>
        <v>1263203.7843295</v>
      </c>
      <c r="L755" s="52">
        <f t="shared" si="199"/>
        <v>3789611.3529885001</v>
      </c>
    </row>
    <row r="756" spans="1:12" ht="30" customHeight="1" x14ac:dyDescent="0.2">
      <c r="A756" s="27" t="s">
        <v>3257</v>
      </c>
      <c r="B756" s="27" t="s">
        <v>2785</v>
      </c>
      <c r="C756" s="27"/>
      <c r="D756" s="31">
        <f t="shared" si="198"/>
        <v>54.67</v>
      </c>
      <c r="E756" s="52">
        <v>591238</v>
      </c>
      <c r="F756" s="31"/>
      <c r="G756" s="31">
        <v>1.22</v>
      </c>
      <c r="H756" s="31">
        <v>1.25</v>
      </c>
      <c r="I756" s="31">
        <v>1.3</v>
      </c>
      <c r="J756" s="31">
        <v>1.0777000000000001</v>
      </c>
      <c r="K756" s="52">
        <f t="shared" si="195"/>
        <v>1263203.7843295</v>
      </c>
      <c r="L756" s="52">
        <f t="shared" si="199"/>
        <v>5052815.1373180002</v>
      </c>
    </row>
    <row r="757" spans="1:12" ht="30" customHeight="1" x14ac:dyDescent="0.2">
      <c r="A757" s="27" t="s">
        <v>3258</v>
      </c>
      <c r="B757" s="27" t="s">
        <v>2787</v>
      </c>
      <c r="C757" s="27"/>
      <c r="D757" s="31">
        <f t="shared" si="198"/>
        <v>68.671000000000006</v>
      </c>
      <c r="E757" s="52">
        <v>591238</v>
      </c>
      <c r="F757" s="31"/>
      <c r="G757" s="31">
        <v>1.22</v>
      </c>
      <c r="H757" s="31">
        <v>1.25</v>
      </c>
      <c r="I757" s="31">
        <v>1.3</v>
      </c>
      <c r="J757" s="31">
        <v>1.0777000000000001</v>
      </c>
      <c r="K757" s="52">
        <f t="shared" si="195"/>
        <v>1263203.7843295</v>
      </c>
      <c r="L757" s="52">
        <f t="shared" si="199"/>
        <v>6316018.9216475002</v>
      </c>
    </row>
    <row r="758" spans="1:12" ht="30" customHeight="1" x14ac:dyDescent="0.2">
      <c r="A758" s="27" t="s">
        <v>3259</v>
      </c>
      <c r="B758" s="27" t="s">
        <v>2789</v>
      </c>
      <c r="C758" s="27"/>
      <c r="D758" s="31">
        <f t="shared" si="198"/>
        <v>82.672000000000011</v>
      </c>
      <c r="E758" s="52">
        <v>591238</v>
      </c>
      <c r="F758" s="31"/>
      <c r="G758" s="31">
        <v>1.22</v>
      </c>
      <c r="H758" s="31">
        <v>1.25</v>
      </c>
      <c r="I758" s="31">
        <v>1.3</v>
      </c>
      <c r="J758" s="31">
        <v>1.0777000000000001</v>
      </c>
      <c r="K758" s="52">
        <f t="shared" si="195"/>
        <v>1263203.7843295</v>
      </c>
      <c r="L758" s="52">
        <f t="shared" si="199"/>
        <v>7579222.7059770003</v>
      </c>
    </row>
    <row r="759" spans="1:12" ht="30" customHeight="1" x14ac:dyDescent="0.2">
      <c r="A759" s="27" t="s">
        <v>3260</v>
      </c>
      <c r="B759" s="27" t="s">
        <v>3261</v>
      </c>
      <c r="C759" s="27"/>
      <c r="D759" s="31">
        <f>D758+1.334+12.667*36/97</f>
        <v>88.707154639175272</v>
      </c>
      <c r="E759" s="52">
        <f>591238*36/97</f>
        <v>219428.53608247422</v>
      </c>
      <c r="F759" s="31"/>
      <c r="G759" s="31">
        <v>1.22</v>
      </c>
      <c r="H759" s="31">
        <v>1.25</v>
      </c>
      <c r="I759" s="31">
        <v>1.3</v>
      </c>
      <c r="J759" s="31">
        <v>1.0777000000000001</v>
      </c>
      <c r="K759" s="52">
        <f t="shared" si="195"/>
        <v>468817.89933878358</v>
      </c>
      <c r="L759" s="52">
        <f t="shared" si="199"/>
        <v>8048040.605315784</v>
      </c>
    </row>
    <row r="760" spans="1:12" ht="30" customHeight="1" x14ac:dyDescent="0.2">
      <c r="A760" s="27" t="s">
        <v>3262</v>
      </c>
      <c r="B760" s="27" t="s">
        <v>3263</v>
      </c>
      <c r="C760" s="27"/>
      <c r="D760" s="31">
        <v>1.0329999999999999</v>
      </c>
      <c r="E760" s="52">
        <f>71986*3+573*2+3694+13394</f>
        <v>234192</v>
      </c>
      <c r="F760" s="31"/>
      <c r="G760" s="31"/>
      <c r="H760" s="31"/>
      <c r="I760" s="31"/>
      <c r="J760" s="31"/>
      <c r="K760" s="52">
        <f t="shared" si="195"/>
        <v>234192</v>
      </c>
      <c r="L760" s="52">
        <f>K760</f>
        <v>234192</v>
      </c>
    </row>
    <row r="761" spans="1:12" ht="30" customHeight="1" x14ac:dyDescent="0.2">
      <c r="A761" s="27" t="s">
        <v>3264</v>
      </c>
      <c r="B761" s="27" t="s">
        <v>3265</v>
      </c>
      <c r="C761" s="27"/>
      <c r="D761" s="31">
        <v>2.35</v>
      </c>
      <c r="E761" s="52">
        <f>71986*3+573*2+13394</f>
        <v>230498</v>
      </c>
      <c r="F761" s="31"/>
      <c r="G761" s="31"/>
      <c r="H761" s="31"/>
      <c r="I761" s="31"/>
      <c r="J761" s="31"/>
      <c r="K761" s="52">
        <f t="shared" si="195"/>
        <v>230498</v>
      </c>
      <c r="L761" s="52">
        <f>K761+L760</f>
        <v>464690</v>
      </c>
    </row>
    <row r="762" spans="1:12" ht="30" customHeight="1" x14ac:dyDescent="0.2">
      <c r="A762" s="27" t="s">
        <v>3266</v>
      </c>
      <c r="B762" s="27" t="s">
        <v>2242</v>
      </c>
      <c r="C762" s="27"/>
      <c r="D762" s="31">
        <v>0.75</v>
      </c>
      <c r="E762" s="52">
        <v>69648</v>
      </c>
      <c r="F762" s="31"/>
      <c r="G762" s="31">
        <v>1.22</v>
      </c>
      <c r="H762" s="31">
        <v>1.25</v>
      </c>
      <c r="I762" s="31">
        <v>1.3</v>
      </c>
      <c r="J762" s="31"/>
      <c r="K762" s="52">
        <f t="shared" si="195"/>
        <v>138077.16</v>
      </c>
      <c r="L762" s="52">
        <f>K762</f>
        <v>138077.16</v>
      </c>
    </row>
    <row r="763" spans="1:12" ht="30" customHeight="1" x14ac:dyDescent="0.2">
      <c r="A763" s="27" t="s">
        <v>3267</v>
      </c>
      <c r="B763" s="27" t="s">
        <v>2244</v>
      </c>
      <c r="C763" s="27"/>
      <c r="D763" s="31">
        <f t="shared" ref="D763:D765" si="200">D762+1.3</f>
        <v>2.0499999999999998</v>
      </c>
      <c r="E763" s="52">
        <v>69648</v>
      </c>
      <c r="F763" s="31"/>
      <c r="G763" s="31">
        <v>1.22</v>
      </c>
      <c r="H763" s="31">
        <v>1.25</v>
      </c>
      <c r="I763" s="31">
        <v>1.3</v>
      </c>
      <c r="J763" s="31"/>
      <c r="K763" s="52">
        <f t="shared" si="195"/>
        <v>138077.16</v>
      </c>
      <c r="L763" s="52">
        <f t="shared" ref="L763:L777" si="201">K763+L762</f>
        <v>276154.32</v>
      </c>
    </row>
    <row r="764" spans="1:12" ht="30" customHeight="1" x14ac:dyDescent="0.2">
      <c r="A764" s="27" t="s">
        <v>3268</v>
      </c>
      <c r="B764" s="27" t="s">
        <v>2246</v>
      </c>
      <c r="C764" s="27"/>
      <c r="D764" s="31">
        <f t="shared" si="200"/>
        <v>3.3499999999999996</v>
      </c>
      <c r="E764" s="52">
        <v>69648</v>
      </c>
      <c r="F764" s="31"/>
      <c r="G764" s="31">
        <v>1.22</v>
      </c>
      <c r="H764" s="31">
        <v>1.25</v>
      </c>
      <c r="I764" s="31">
        <v>1.3</v>
      </c>
      <c r="J764" s="31"/>
      <c r="K764" s="52">
        <f t="shared" si="195"/>
        <v>138077.16</v>
      </c>
      <c r="L764" s="52">
        <f t="shared" si="201"/>
        <v>414231.48</v>
      </c>
    </row>
    <row r="765" spans="1:12" ht="30" customHeight="1" x14ac:dyDescent="0.2">
      <c r="A765" s="27" t="s">
        <v>3269</v>
      </c>
      <c r="B765" s="27" t="s">
        <v>2248</v>
      </c>
      <c r="C765" s="27"/>
      <c r="D765" s="31">
        <f t="shared" si="200"/>
        <v>4.6499999999999995</v>
      </c>
      <c r="E765" s="52">
        <v>69648</v>
      </c>
      <c r="F765" s="31"/>
      <c r="G765" s="31">
        <v>1.22</v>
      </c>
      <c r="H765" s="31">
        <v>1.25</v>
      </c>
      <c r="I765" s="31">
        <v>1.3</v>
      </c>
      <c r="J765" s="31"/>
      <c r="K765" s="52">
        <f t="shared" si="195"/>
        <v>138077.16</v>
      </c>
      <c r="L765" s="52">
        <f t="shared" si="201"/>
        <v>552308.64</v>
      </c>
    </row>
    <row r="766" spans="1:12" ht="30" customHeight="1" x14ac:dyDescent="0.2">
      <c r="A766" s="27" t="s">
        <v>3270</v>
      </c>
      <c r="B766" s="27" t="s">
        <v>3271</v>
      </c>
      <c r="C766" s="27"/>
      <c r="D766" s="31">
        <f>D765+1.867</f>
        <v>6.5169999999999995</v>
      </c>
      <c r="E766" s="52">
        <v>69648</v>
      </c>
      <c r="F766" s="31"/>
      <c r="G766" s="31">
        <v>1.22</v>
      </c>
      <c r="H766" s="31">
        <v>1.25</v>
      </c>
      <c r="I766" s="31">
        <v>1.3</v>
      </c>
      <c r="J766" s="31"/>
      <c r="K766" s="52">
        <f t="shared" si="195"/>
        <v>138077.16</v>
      </c>
      <c r="L766" s="52">
        <f t="shared" si="201"/>
        <v>690385.8</v>
      </c>
    </row>
    <row r="767" spans="1:12" ht="30" customHeight="1" x14ac:dyDescent="0.2">
      <c r="A767" s="27" t="s">
        <v>3272</v>
      </c>
      <c r="B767" s="27" t="s">
        <v>2291</v>
      </c>
      <c r="C767" s="27"/>
      <c r="D767" s="31">
        <f t="shared" ref="D767:D769" si="202">D766+1.3</f>
        <v>7.8169999999999993</v>
      </c>
      <c r="E767" s="52">
        <v>69648</v>
      </c>
      <c r="F767" s="31"/>
      <c r="G767" s="31">
        <v>1.22</v>
      </c>
      <c r="H767" s="31">
        <v>1.25</v>
      </c>
      <c r="I767" s="31">
        <v>1.3</v>
      </c>
      <c r="J767" s="31"/>
      <c r="K767" s="52">
        <f t="shared" si="195"/>
        <v>138077.16</v>
      </c>
      <c r="L767" s="52">
        <f t="shared" si="201"/>
        <v>828462.96000000008</v>
      </c>
    </row>
    <row r="768" spans="1:12" ht="30" customHeight="1" x14ac:dyDescent="0.2">
      <c r="A768" s="27" t="s">
        <v>3273</v>
      </c>
      <c r="B768" s="27" t="s">
        <v>2254</v>
      </c>
      <c r="C768" s="27"/>
      <c r="D768" s="31">
        <f t="shared" si="202"/>
        <v>9.1169999999999991</v>
      </c>
      <c r="E768" s="52">
        <v>69648</v>
      </c>
      <c r="F768" s="31"/>
      <c r="G768" s="31">
        <v>1.22</v>
      </c>
      <c r="H768" s="31">
        <v>1.25</v>
      </c>
      <c r="I768" s="31">
        <v>1.3</v>
      </c>
      <c r="J768" s="31"/>
      <c r="K768" s="52">
        <f t="shared" si="195"/>
        <v>138077.16</v>
      </c>
      <c r="L768" s="52">
        <f t="shared" si="201"/>
        <v>966540.12000000011</v>
      </c>
    </row>
    <row r="769" spans="1:12" ht="30" customHeight="1" x14ac:dyDescent="0.2">
      <c r="A769" s="27" t="s">
        <v>3274</v>
      </c>
      <c r="B769" s="27" t="s">
        <v>2256</v>
      </c>
      <c r="C769" s="27"/>
      <c r="D769" s="31">
        <f t="shared" si="202"/>
        <v>10.417</v>
      </c>
      <c r="E769" s="52">
        <v>69648</v>
      </c>
      <c r="F769" s="31"/>
      <c r="G769" s="31">
        <v>1.22</v>
      </c>
      <c r="H769" s="31">
        <v>1.25</v>
      </c>
      <c r="I769" s="31">
        <v>1.3</v>
      </c>
      <c r="J769" s="31"/>
      <c r="K769" s="52">
        <f t="shared" si="195"/>
        <v>138077.16</v>
      </c>
      <c r="L769" s="52">
        <f t="shared" si="201"/>
        <v>1104617.28</v>
      </c>
    </row>
    <row r="770" spans="1:12" ht="30" customHeight="1" x14ac:dyDescent="0.2">
      <c r="A770" s="27" t="s">
        <v>3275</v>
      </c>
      <c r="B770" s="27" t="s">
        <v>3195</v>
      </c>
      <c r="C770" s="27"/>
      <c r="D770" s="31">
        <f>D769+1.867</f>
        <v>12.283999999999999</v>
      </c>
      <c r="E770" s="52">
        <v>69648</v>
      </c>
      <c r="F770" s="31"/>
      <c r="G770" s="31">
        <v>1.22</v>
      </c>
      <c r="H770" s="31">
        <v>1.25</v>
      </c>
      <c r="I770" s="31">
        <v>1.3</v>
      </c>
      <c r="J770" s="31"/>
      <c r="K770" s="52">
        <f t="shared" si="195"/>
        <v>138077.16</v>
      </c>
      <c r="L770" s="52">
        <f t="shared" si="201"/>
        <v>1242694.44</v>
      </c>
    </row>
    <row r="771" spans="1:12" ht="30" customHeight="1" x14ac:dyDescent="0.2">
      <c r="A771" s="27" t="s">
        <v>3276</v>
      </c>
      <c r="B771" s="27" t="s">
        <v>2260</v>
      </c>
      <c r="C771" s="27"/>
      <c r="D771" s="31">
        <f t="shared" ref="D771:D773" si="203">D770+1.3</f>
        <v>13.584</v>
      </c>
      <c r="E771" s="52">
        <v>69648</v>
      </c>
      <c r="F771" s="31"/>
      <c r="G771" s="31">
        <v>1.22</v>
      </c>
      <c r="H771" s="31">
        <v>1.25</v>
      </c>
      <c r="I771" s="31">
        <v>1.3</v>
      </c>
      <c r="J771" s="31"/>
      <c r="K771" s="52">
        <f t="shared" si="195"/>
        <v>138077.16</v>
      </c>
      <c r="L771" s="52">
        <f t="shared" si="201"/>
        <v>1380771.5999999999</v>
      </c>
    </row>
    <row r="772" spans="1:12" ht="30" customHeight="1" x14ac:dyDescent="0.2">
      <c r="A772" s="27" t="s">
        <v>3277</v>
      </c>
      <c r="B772" s="27" t="s">
        <v>2297</v>
      </c>
      <c r="C772" s="27"/>
      <c r="D772" s="31">
        <f t="shared" si="203"/>
        <v>14.884</v>
      </c>
      <c r="E772" s="52">
        <v>69648</v>
      </c>
      <c r="F772" s="31"/>
      <c r="G772" s="31">
        <v>1.22</v>
      </c>
      <c r="H772" s="31">
        <v>1.25</v>
      </c>
      <c r="I772" s="31">
        <v>1.3</v>
      </c>
      <c r="J772" s="31"/>
      <c r="K772" s="52">
        <f t="shared" si="195"/>
        <v>138077.16</v>
      </c>
      <c r="L772" s="52">
        <f t="shared" si="201"/>
        <v>1518848.7599999998</v>
      </c>
    </row>
    <row r="773" spans="1:12" ht="30" customHeight="1" x14ac:dyDescent="0.2">
      <c r="A773" s="27" t="s">
        <v>3278</v>
      </c>
      <c r="B773" s="27" t="s">
        <v>2264</v>
      </c>
      <c r="C773" s="27"/>
      <c r="D773" s="31">
        <f t="shared" si="203"/>
        <v>16.184000000000001</v>
      </c>
      <c r="E773" s="52">
        <v>69648</v>
      </c>
      <c r="F773" s="31"/>
      <c r="G773" s="31">
        <v>1.22</v>
      </c>
      <c r="H773" s="31">
        <v>1.25</v>
      </c>
      <c r="I773" s="31">
        <v>1.3</v>
      </c>
      <c r="J773" s="31"/>
      <c r="K773" s="52">
        <f t="shared" si="195"/>
        <v>138077.16</v>
      </c>
      <c r="L773" s="52">
        <f t="shared" si="201"/>
        <v>1656925.9199999997</v>
      </c>
    </row>
    <row r="774" spans="1:12" ht="30" customHeight="1" x14ac:dyDescent="0.2">
      <c r="A774" s="27" t="s">
        <v>3279</v>
      </c>
      <c r="B774" s="27" t="s">
        <v>3280</v>
      </c>
      <c r="C774" s="27"/>
      <c r="D774" s="31">
        <f>D773+1.867</f>
        <v>18.051000000000002</v>
      </c>
      <c r="E774" s="52">
        <v>69648</v>
      </c>
      <c r="F774" s="31"/>
      <c r="G774" s="31">
        <v>1.22</v>
      </c>
      <c r="H774" s="31">
        <v>1.25</v>
      </c>
      <c r="I774" s="31">
        <v>1.3</v>
      </c>
      <c r="J774" s="31"/>
      <c r="K774" s="52">
        <f t="shared" si="195"/>
        <v>138077.16</v>
      </c>
      <c r="L774" s="52">
        <f t="shared" si="201"/>
        <v>1795003.0799999996</v>
      </c>
    </row>
    <row r="775" spans="1:12" ht="30" customHeight="1" x14ac:dyDescent="0.2">
      <c r="A775" s="27" t="s">
        <v>3281</v>
      </c>
      <c r="B775" s="27" t="s">
        <v>2268</v>
      </c>
      <c r="C775" s="27"/>
      <c r="D775" s="31">
        <f t="shared" ref="D775:D777" si="204">D774+1.3</f>
        <v>19.351000000000003</v>
      </c>
      <c r="E775" s="52">
        <v>69648</v>
      </c>
      <c r="F775" s="31"/>
      <c r="G775" s="31">
        <v>1.22</v>
      </c>
      <c r="H775" s="31">
        <v>1.25</v>
      </c>
      <c r="I775" s="31">
        <v>1.3</v>
      </c>
      <c r="J775" s="31"/>
      <c r="K775" s="52">
        <f t="shared" si="195"/>
        <v>138077.16</v>
      </c>
      <c r="L775" s="52">
        <f t="shared" si="201"/>
        <v>1933080.2399999995</v>
      </c>
    </row>
    <row r="776" spans="1:12" ht="30" customHeight="1" x14ac:dyDescent="0.2">
      <c r="A776" s="27" t="s">
        <v>3282</v>
      </c>
      <c r="B776" s="27" t="s">
        <v>2270</v>
      </c>
      <c r="C776" s="27"/>
      <c r="D776" s="31">
        <f t="shared" si="204"/>
        <v>20.651000000000003</v>
      </c>
      <c r="E776" s="52">
        <v>69648</v>
      </c>
      <c r="F776" s="31"/>
      <c r="G776" s="31">
        <v>1.22</v>
      </c>
      <c r="H776" s="31">
        <v>1.25</v>
      </c>
      <c r="I776" s="31">
        <v>1.3</v>
      </c>
      <c r="J776" s="31"/>
      <c r="K776" s="52">
        <f t="shared" si="195"/>
        <v>138077.16</v>
      </c>
      <c r="L776" s="52">
        <f t="shared" si="201"/>
        <v>2071157.3999999994</v>
      </c>
    </row>
    <row r="777" spans="1:12" ht="30" customHeight="1" x14ac:dyDescent="0.2">
      <c r="A777" s="27" t="s">
        <v>3283</v>
      </c>
      <c r="B777" s="27" t="s">
        <v>2303</v>
      </c>
      <c r="C777" s="27"/>
      <c r="D777" s="31">
        <f t="shared" si="204"/>
        <v>21.951000000000004</v>
      </c>
      <c r="E777" s="52">
        <v>69648</v>
      </c>
      <c r="F777" s="31"/>
      <c r="G777" s="31">
        <v>1.22</v>
      </c>
      <c r="H777" s="31">
        <v>1.25</v>
      </c>
      <c r="I777" s="31">
        <v>1.3</v>
      </c>
      <c r="J777" s="31"/>
      <c r="K777" s="52">
        <f t="shared" si="195"/>
        <v>138077.16</v>
      </c>
      <c r="L777" s="52">
        <f t="shared" si="201"/>
        <v>2209234.5599999996</v>
      </c>
    </row>
    <row r="778" spans="1:12" ht="30" customHeight="1" x14ac:dyDescent="0.2">
      <c r="A778" s="27" t="s">
        <v>3284</v>
      </c>
      <c r="B778" s="27" t="s">
        <v>2795</v>
      </c>
      <c r="C778" s="27"/>
      <c r="D778" s="31">
        <f>0.583+6.4</f>
        <v>6.9830000000000005</v>
      </c>
      <c r="E778" s="52">
        <f>(300391+117953)*6.4/10.966*2</f>
        <v>488309.61152653664</v>
      </c>
      <c r="F778" s="31"/>
      <c r="G778" s="31"/>
      <c r="H778" s="31"/>
      <c r="I778" s="31">
        <v>1.3</v>
      </c>
      <c r="J778" s="31"/>
      <c r="K778" s="52">
        <f t="shared" si="195"/>
        <v>634802.49498449767</v>
      </c>
      <c r="L778" s="52">
        <f>K778</f>
        <v>634802.49498449767</v>
      </c>
    </row>
    <row r="779" spans="1:12" ht="30" customHeight="1" x14ac:dyDescent="0.2">
      <c r="A779" s="27" t="s">
        <v>3285</v>
      </c>
      <c r="B779" s="27" t="s">
        <v>3286</v>
      </c>
      <c r="C779" s="27"/>
      <c r="D779" s="31">
        <f>D778+1.683*67</f>
        <v>119.74400000000001</v>
      </c>
      <c r="E779" s="52">
        <f>66*(300391*6.4/10.966*2+117953*1.583/6.4*2)</f>
        <v>26992648.979055833</v>
      </c>
      <c r="F779" s="31"/>
      <c r="G779" s="31"/>
      <c r="H779" s="31"/>
      <c r="I779" s="31">
        <v>1.3</v>
      </c>
      <c r="J779" s="31"/>
      <c r="K779" s="52">
        <f t="shared" si="195"/>
        <v>35090443.672772586</v>
      </c>
      <c r="L779" s="52">
        <f>K779+L778</f>
        <v>35725246.167757086</v>
      </c>
    </row>
    <row r="780" spans="1:12" ht="30" customHeight="1" x14ac:dyDescent="0.2">
      <c r="A780" s="27" t="s">
        <v>3287</v>
      </c>
      <c r="B780" s="27" t="s">
        <v>2795</v>
      </c>
      <c r="C780" s="27"/>
      <c r="D780" s="31">
        <f>10.966+0.583</f>
        <v>11.548999999999999</v>
      </c>
      <c r="E780" s="52">
        <f>300391+117953</f>
        <v>418344</v>
      </c>
      <c r="F780" s="31"/>
      <c r="G780" s="31"/>
      <c r="H780" s="31"/>
      <c r="I780" s="31">
        <v>1.3</v>
      </c>
      <c r="J780" s="31"/>
      <c r="K780" s="52">
        <f t="shared" si="195"/>
        <v>543847.20000000007</v>
      </c>
      <c r="L780" s="52">
        <f>K780</f>
        <v>543847.20000000007</v>
      </c>
    </row>
    <row r="781" spans="1:12" ht="30" customHeight="1" x14ac:dyDescent="0.2">
      <c r="A781" s="27" t="s">
        <v>3288</v>
      </c>
      <c r="B781" s="27" t="s">
        <v>3289</v>
      </c>
      <c r="C781" s="27"/>
      <c r="D781" s="31">
        <f>D780+1.583</f>
        <v>13.132</v>
      </c>
      <c r="E781" s="52">
        <f t="shared" ref="E781:E785" si="205">300391+117953*6.433/8.45/5</f>
        <v>318350.56565680471</v>
      </c>
      <c r="F781" s="31"/>
      <c r="G781" s="31"/>
      <c r="H781" s="31"/>
      <c r="I781" s="31">
        <v>1.3</v>
      </c>
      <c r="J781" s="31"/>
      <c r="K781" s="52">
        <f t="shared" si="195"/>
        <v>413855.73535384616</v>
      </c>
      <c r="L781" s="52">
        <f t="shared" ref="L781:L785" si="206">K781+L780</f>
        <v>957702.93535384629</v>
      </c>
    </row>
    <row r="782" spans="1:12" ht="30" customHeight="1" x14ac:dyDescent="0.2">
      <c r="A782" s="27" t="s">
        <v>3290</v>
      </c>
      <c r="B782" s="27" t="s">
        <v>3291</v>
      </c>
      <c r="C782" s="27"/>
      <c r="D782" s="31">
        <f>D780+2.766</f>
        <v>14.315</v>
      </c>
      <c r="E782" s="52">
        <f t="shared" si="205"/>
        <v>318350.56565680471</v>
      </c>
      <c r="F782" s="31"/>
      <c r="G782" s="31"/>
      <c r="H782" s="31"/>
      <c r="I782" s="31">
        <v>1.3</v>
      </c>
      <c r="J782" s="31"/>
      <c r="K782" s="52">
        <f t="shared" si="195"/>
        <v>413855.73535384616</v>
      </c>
      <c r="L782" s="52">
        <f t="shared" si="206"/>
        <v>1371558.6707076924</v>
      </c>
    </row>
    <row r="783" spans="1:12" ht="30" customHeight="1" x14ac:dyDescent="0.2">
      <c r="A783" s="27" t="s">
        <v>3292</v>
      </c>
      <c r="B783" s="27" t="s">
        <v>3293</v>
      </c>
      <c r="C783" s="27"/>
      <c r="D783" s="31">
        <f>D780+4</f>
        <v>15.548999999999999</v>
      </c>
      <c r="E783" s="52">
        <f t="shared" si="205"/>
        <v>318350.56565680471</v>
      </c>
      <c r="F783" s="31"/>
      <c r="G783" s="31"/>
      <c r="H783" s="31"/>
      <c r="I783" s="31">
        <v>1.3</v>
      </c>
      <c r="J783" s="31"/>
      <c r="K783" s="52">
        <f t="shared" si="195"/>
        <v>413855.73535384616</v>
      </c>
      <c r="L783" s="52">
        <f t="shared" si="206"/>
        <v>1785414.4060615385</v>
      </c>
    </row>
    <row r="784" spans="1:12" ht="30" customHeight="1" x14ac:dyDescent="0.2">
      <c r="A784" s="27" t="s">
        <v>3294</v>
      </c>
      <c r="B784" s="27" t="s">
        <v>3295</v>
      </c>
      <c r="C784" s="27"/>
      <c r="D784" s="31">
        <f>D780+5.25</f>
        <v>16.798999999999999</v>
      </c>
      <c r="E784" s="52">
        <f t="shared" si="205"/>
        <v>318350.56565680471</v>
      </c>
      <c r="F784" s="31"/>
      <c r="G784" s="31"/>
      <c r="H784" s="31"/>
      <c r="I784" s="31">
        <v>1.3</v>
      </c>
      <c r="J784" s="31"/>
      <c r="K784" s="52">
        <f t="shared" si="195"/>
        <v>413855.73535384616</v>
      </c>
      <c r="L784" s="52">
        <f t="shared" si="206"/>
        <v>2199270.1414153846</v>
      </c>
    </row>
    <row r="785" spans="1:12" ht="30" customHeight="1" x14ac:dyDescent="0.2">
      <c r="A785" s="27" t="s">
        <v>3296</v>
      </c>
      <c r="B785" s="27" t="s">
        <v>3297</v>
      </c>
      <c r="C785" s="27"/>
      <c r="D785" s="31">
        <f>D780+6.433</f>
        <v>17.981999999999999</v>
      </c>
      <c r="E785" s="52">
        <f t="shared" si="205"/>
        <v>318350.56565680471</v>
      </c>
      <c r="F785" s="31"/>
      <c r="G785" s="31"/>
      <c r="H785" s="31"/>
      <c r="I785" s="31">
        <v>1.3</v>
      </c>
      <c r="J785" s="31"/>
      <c r="K785" s="52">
        <f t="shared" si="195"/>
        <v>413855.73535384616</v>
      </c>
      <c r="L785" s="52">
        <f t="shared" si="206"/>
        <v>2613125.8767692307</v>
      </c>
    </row>
    <row r="786" spans="1:12" ht="30" customHeight="1" x14ac:dyDescent="0.2">
      <c r="A786" s="27" t="s">
        <v>3298</v>
      </c>
      <c r="B786" s="27" t="s">
        <v>2795</v>
      </c>
      <c r="C786" s="27"/>
      <c r="D786" s="31">
        <v>7.9</v>
      </c>
      <c r="E786" s="52">
        <f>107928*1.35</f>
        <v>145702.80000000002</v>
      </c>
      <c r="F786" s="31"/>
      <c r="G786" s="31"/>
      <c r="H786" s="31"/>
      <c r="I786" s="31">
        <v>1.3</v>
      </c>
      <c r="J786" s="31"/>
      <c r="K786" s="52">
        <f t="shared" si="195"/>
        <v>189413.64000000004</v>
      </c>
      <c r="L786" s="52">
        <f>K786</f>
        <v>189413.64000000004</v>
      </c>
    </row>
    <row r="787" spans="1:12" ht="30" customHeight="1" x14ac:dyDescent="0.2">
      <c r="A787" s="27" t="s">
        <v>3299</v>
      </c>
      <c r="B787" s="27" t="s">
        <v>3286</v>
      </c>
      <c r="C787" s="27"/>
      <c r="D787" s="31">
        <f>D786+1.683*66</f>
        <v>118.97800000000001</v>
      </c>
      <c r="E787" s="52">
        <f>107928*1.35*66</f>
        <v>9616384.8000000007</v>
      </c>
      <c r="F787" s="31"/>
      <c r="G787" s="31"/>
      <c r="H787" s="31"/>
      <c r="I787" s="31">
        <v>1.3</v>
      </c>
      <c r="J787" s="31"/>
      <c r="K787" s="52">
        <f t="shared" si="195"/>
        <v>12501300.240000002</v>
      </c>
      <c r="L787" s="52">
        <f>K787+L786</f>
        <v>12690713.880000003</v>
      </c>
    </row>
    <row r="788" spans="1:12" ht="30" customHeight="1" x14ac:dyDescent="0.2">
      <c r="A788" s="27" t="s">
        <v>3300</v>
      </c>
      <c r="B788" s="27" t="s">
        <v>2242</v>
      </c>
      <c r="C788" s="27"/>
      <c r="D788" s="31">
        <v>0.48299999999999998</v>
      </c>
      <c r="E788" s="52">
        <v>33409</v>
      </c>
      <c r="F788" s="31">
        <v>1.2</v>
      </c>
      <c r="G788" s="31">
        <v>1.22</v>
      </c>
      <c r="H788" s="31">
        <v>1.25</v>
      </c>
      <c r="I788" s="31">
        <v>1.3</v>
      </c>
      <c r="J788" s="31">
        <v>1.0777000000000001</v>
      </c>
      <c r="K788" s="52">
        <f t="shared" si="195"/>
        <v>85655.607854699992</v>
      </c>
      <c r="L788" s="52">
        <f>K788</f>
        <v>85655.607854699992</v>
      </c>
    </row>
    <row r="789" spans="1:12" ht="30" customHeight="1" x14ac:dyDescent="0.2">
      <c r="A789" s="27" t="s">
        <v>3301</v>
      </c>
      <c r="B789" s="27" t="s">
        <v>2244</v>
      </c>
      <c r="C789" s="27"/>
      <c r="D789" s="31">
        <f t="shared" ref="D789:D794" si="207">D788+0.983</f>
        <v>1.466</v>
      </c>
      <c r="E789" s="52">
        <v>33409</v>
      </c>
      <c r="F789" s="31">
        <v>1.2</v>
      </c>
      <c r="G789" s="31">
        <v>1.22</v>
      </c>
      <c r="H789" s="31">
        <v>1.25</v>
      </c>
      <c r="I789" s="31">
        <v>1.3</v>
      </c>
      <c r="J789" s="31">
        <v>1.0777000000000001</v>
      </c>
      <c r="K789" s="52">
        <f t="shared" si="195"/>
        <v>85655.607854699992</v>
      </c>
      <c r="L789" s="52">
        <f t="shared" ref="L789:L821" si="208">K789+L788</f>
        <v>171311.21570939998</v>
      </c>
    </row>
    <row r="790" spans="1:12" ht="30" customHeight="1" x14ac:dyDescent="0.2">
      <c r="A790" s="27" t="s">
        <v>3302</v>
      </c>
      <c r="B790" s="27" t="s">
        <v>2246</v>
      </c>
      <c r="C790" s="27"/>
      <c r="D790" s="31">
        <f t="shared" si="207"/>
        <v>2.4489999999999998</v>
      </c>
      <c r="E790" s="52">
        <v>33409</v>
      </c>
      <c r="F790" s="31">
        <v>1.2</v>
      </c>
      <c r="G790" s="31">
        <v>1.22</v>
      </c>
      <c r="H790" s="31">
        <v>1.25</v>
      </c>
      <c r="I790" s="31">
        <v>1.3</v>
      </c>
      <c r="J790" s="31">
        <v>1.0777000000000001</v>
      </c>
      <c r="K790" s="52">
        <f t="shared" si="195"/>
        <v>85655.607854699992</v>
      </c>
      <c r="L790" s="52">
        <f t="shared" si="208"/>
        <v>256966.82356409996</v>
      </c>
    </row>
    <row r="791" spans="1:12" ht="30" customHeight="1" x14ac:dyDescent="0.2">
      <c r="A791" s="27" t="s">
        <v>3303</v>
      </c>
      <c r="B791" s="27" t="s">
        <v>2248</v>
      </c>
      <c r="C791" s="27"/>
      <c r="D791" s="31">
        <f t="shared" si="207"/>
        <v>3.4319999999999999</v>
      </c>
      <c r="E791" s="52">
        <v>33409</v>
      </c>
      <c r="F791" s="31">
        <v>1.2</v>
      </c>
      <c r="G791" s="31">
        <v>1.22</v>
      </c>
      <c r="H791" s="31">
        <v>1.25</v>
      </c>
      <c r="I791" s="31">
        <v>1.3</v>
      </c>
      <c r="J791" s="31">
        <v>1.0777000000000001</v>
      </c>
      <c r="K791" s="52">
        <f t="shared" si="195"/>
        <v>85655.607854699992</v>
      </c>
      <c r="L791" s="52">
        <f t="shared" si="208"/>
        <v>342622.43141879997</v>
      </c>
    </row>
    <row r="792" spans="1:12" ht="30" customHeight="1" x14ac:dyDescent="0.2">
      <c r="A792" s="27" t="s">
        <v>3304</v>
      </c>
      <c r="B792" s="27" t="s">
        <v>2250</v>
      </c>
      <c r="C792" s="27"/>
      <c r="D792" s="31">
        <f t="shared" si="207"/>
        <v>4.415</v>
      </c>
      <c r="E792" s="52">
        <v>33409</v>
      </c>
      <c r="F792" s="31">
        <v>1.2</v>
      </c>
      <c r="G792" s="31">
        <v>1.22</v>
      </c>
      <c r="H792" s="31">
        <v>1.25</v>
      </c>
      <c r="I792" s="31">
        <v>1.3</v>
      </c>
      <c r="J792" s="31">
        <v>1.0777000000000001</v>
      </c>
      <c r="K792" s="52">
        <f t="shared" si="195"/>
        <v>85655.607854699992</v>
      </c>
      <c r="L792" s="52">
        <f t="shared" si="208"/>
        <v>428278.03927349998</v>
      </c>
    </row>
    <row r="793" spans="1:12" ht="30" customHeight="1" x14ac:dyDescent="0.2">
      <c r="A793" s="27" t="s">
        <v>3305</v>
      </c>
      <c r="B793" s="27" t="s">
        <v>2291</v>
      </c>
      <c r="C793" s="27"/>
      <c r="D793" s="31">
        <f t="shared" si="207"/>
        <v>5.3979999999999997</v>
      </c>
      <c r="E793" s="52">
        <v>33409</v>
      </c>
      <c r="F793" s="31">
        <v>1.2</v>
      </c>
      <c r="G793" s="31">
        <v>1.22</v>
      </c>
      <c r="H793" s="31">
        <v>1.25</v>
      </c>
      <c r="I793" s="31">
        <v>1.3</v>
      </c>
      <c r="J793" s="31">
        <v>1.0777000000000001</v>
      </c>
      <c r="K793" s="52">
        <f t="shared" si="195"/>
        <v>85655.607854699992</v>
      </c>
      <c r="L793" s="52">
        <f t="shared" si="208"/>
        <v>513933.64712819998</v>
      </c>
    </row>
    <row r="794" spans="1:12" ht="30" customHeight="1" x14ac:dyDescent="0.2">
      <c r="A794" s="27" t="s">
        <v>3306</v>
      </c>
      <c r="B794" s="27" t="s">
        <v>2254</v>
      </c>
      <c r="C794" s="27"/>
      <c r="D794" s="31">
        <f t="shared" si="207"/>
        <v>6.3809999999999993</v>
      </c>
      <c r="E794" s="52">
        <v>33409</v>
      </c>
      <c r="F794" s="31">
        <v>1.2</v>
      </c>
      <c r="G794" s="31">
        <v>1.22</v>
      </c>
      <c r="H794" s="31">
        <v>1.25</v>
      </c>
      <c r="I794" s="31">
        <v>1.3</v>
      </c>
      <c r="J794" s="31">
        <v>1.0777000000000001</v>
      </c>
      <c r="K794" s="52">
        <f t="shared" si="195"/>
        <v>85655.607854699992</v>
      </c>
      <c r="L794" s="52">
        <f t="shared" si="208"/>
        <v>599589.25498289999</v>
      </c>
    </row>
    <row r="795" spans="1:12" ht="30" customHeight="1" x14ac:dyDescent="0.2">
      <c r="A795" s="27" t="s">
        <v>3307</v>
      </c>
      <c r="B795" s="27" t="s">
        <v>3146</v>
      </c>
      <c r="C795" s="27"/>
      <c r="D795" s="31">
        <f>D794+1.517</f>
        <v>7.8979999999999997</v>
      </c>
      <c r="E795" s="52">
        <v>33409</v>
      </c>
      <c r="F795" s="31">
        <v>1.2</v>
      </c>
      <c r="G795" s="31">
        <v>1.22</v>
      </c>
      <c r="H795" s="31">
        <v>1.25</v>
      </c>
      <c r="I795" s="31">
        <v>1.3</v>
      </c>
      <c r="J795" s="31">
        <v>1.0777000000000001</v>
      </c>
      <c r="K795" s="52">
        <f t="shared" si="195"/>
        <v>85655.607854699992</v>
      </c>
      <c r="L795" s="52">
        <f t="shared" si="208"/>
        <v>685244.86283759994</v>
      </c>
    </row>
    <row r="796" spans="1:12" ht="30" customHeight="1" x14ac:dyDescent="0.2">
      <c r="A796" s="27" t="s">
        <v>3308</v>
      </c>
      <c r="B796" s="27" t="s">
        <v>2258</v>
      </c>
      <c r="C796" s="27"/>
      <c r="D796" s="31">
        <f t="shared" ref="D796:D801" si="209">D795+0.983</f>
        <v>8.8810000000000002</v>
      </c>
      <c r="E796" s="52">
        <v>33409</v>
      </c>
      <c r="F796" s="31">
        <v>1.2</v>
      </c>
      <c r="G796" s="31">
        <v>1.22</v>
      </c>
      <c r="H796" s="31">
        <v>1.25</v>
      </c>
      <c r="I796" s="31">
        <v>1.3</v>
      </c>
      <c r="J796" s="31">
        <v>1.0777000000000001</v>
      </c>
      <c r="K796" s="52">
        <f t="shared" si="195"/>
        <v>85655.607854699992</v>
      </c>
      <c r="L796" s="52">
        <f t="shared" si="208"/>
        <v>770900.47069229989</v>
      </c>
    </row>
    <row r="797" spans="1:12" ht="30" customHeight="1" x14ac:dyDescent="0.2">
      <c r="A797" s="27" t="s">
        <v>3309</v>
      </c>
      <c r="B797" s="27" t="s">
        <v>2260</v>
      </c>
      <c r="C797" s="27"/>
      <c r="D797" s="31">
        <f t="shared" si="209"/>
        <v>9.8640000000000008</v>
      </c>
      <c r="E797" s="52">
        <v>33409</v>
      </c>
      <c r="F797" s="31">
        <v>1.2</v>
      </c>
      <c r="G797" s="31">
        <v>1.22</v>
      </c>
      <c r="H797" s="31">
        <v>1.25</v>
      </c>
      <c r="I797" s="31">
        <v>1.3</v>
      </c>
      <c r="J797" s="31">
        <v>1.0777000000000001</v>
      </c>
      <c r="K797" s="52">
        <f t="shared" si="195"/>
        <v>85655.607854699992</v>
      </c>
      <c r="L797" s="52">
        <f t="shared" si="208"/>
        <v>856556.07854699984</v>
      </c>
    </row>
    <row r="798" spans="1:12" ht="30" customHeight="1" x14ac:dyDescent="0.2">
      <c r="A798" s="27" t="s">
        <v>3310</v>
      </c>
      <c r="B798" s="27" t="s">
        <v>2297</v>
      </c>
      <c r="C798" s="27"/>
      <c r="D798" s="31">
        <f t="shared" si="209"/>
        <v>10.847000000000001</v>
      </c>
      <c r="E798" s="52">
        <v>33409</v>
      </c>
      <c r="F798" s="31">
        <v>1.2</v>
      </c>
      <c r="G798" s="31">
        <v>1.22</v>
      </c>
      <c r="H798" s="31">
        <v>1.25</v>
      </c>
      <c r="I798" s="31">
        <v>1.3</v>
      </c>
      <c r="J798" s="31">
        <v>1.0777000000000001</v>
      </c>
      <c r="K798" s="52">
        <f t="shared" si="195"/>
        <v>85655.607854699992</v>
      </c>
      <c r="L798" s="52">
        <f t="shared" si="208"/>
        <v>942211.68640169979</v>
      </c>
    </row>
    <row r="799" spans="1:12" ht="30" customHeight="1" x14ac:dyDescent="0.2">
      <c r="A799" s="27" t="s">
        <v>3311</v>
      </c>
      <c r="B799" s="27" t="s">
        <v>2264</v>
      </c>
      <c r="C799" s="27"/>
      <c r="D799" s="31">
        <f t="shared" si="209"/>
        <v>11.830000000000002</v>
      </c>
      <c r="E799" s="52">
        <v>33409</v>
      </c>
      <c r="F799" s="31">
        <v>1.2</v>
      </c>
      <c r="G799" s="31">
        <v>1.22</v>
      </c>
      <c r="H799" s="31">
        <v>1.25</v>
      </c>
      <c r="I799" s="31">
        <v>1.3</v>
      </c>
      <c r="J799" s="31">
        <v>1.0777000000000001</v>
      </c>
      <c r="K799" s="52">
        <f t="shared" si="195"/>
        <v>85655.607854699992</v>
      </c>
      <c r="L799" s="52">
        <f t="shared" si="208"/>
        <v>1027867.2942563997</v>
      </c>
    </row>
    <row r="800" spans="1:12" ht="30" customHeight="1" x14ac:dyDescent="0.2">
      <c r="A800" s="27" t="s">
        <v>3312</v>
      </c>
      <c r="B800" s="27" t="s">
        <v>2266</v>
      </c>
      <c r="C800" s="27"/>
      <c r="D800" s="31">
        <f t="shared" si="209"/>
        <v>12.813000000000002</v>
      </c>
      <c r="E800" s="52">
        <v>33409</v>
      </c>
      <c r="F800" s="31">
        <v>1.2</v>
      </c>
      <c r="G800" s="31">
        <v>1.22</v>
      </c>
      <c r="H800" s="31">
        <v>1.25</v>
      </c>
      <c r="I800" s="31">
        <v>1.3</v>
      </c>
      <c r="J800" s="31">
        <v>1.0777000000000001</v>
      </c>
      <c r="K800" s="52">
        <f t="shared" si="195"/>
        <v>85655.607854699992</v>
      </c>
      <c r="L800" s="52">
        <f t="shared" si="208"/>
        <v>1113522.9021110998</v>
      </c>
    </row>
    <row r="801" spans="1:12" ht="30" customHeight="1" x14ac:dyDescent="0.2">
      <c r="A801" s="27" t="s">
        <v>3313</v>
      </c>
      <c r="B801" s="27" t="s">
        <v>2268</v>
      </c>
      <c r="C801" s="27"/>
      <c r="D801" s="31">
        <f t="shared" si="209"/>
        <v>13.796000000000003</v>
      </c>
      <c r="E801" s="52">
        <v>33409</v>
      </c>
      <c r="F801" s="31">
        <v>1.2</v>
      </c>
      <c r="G801" s="31">
        <v>1.22</v>
      </c>
      <c r="H801" s="31">
        <v>1.25</v>
      </c>
      <c r="I801" s="31">
        <v>1.3</v>
      </c>
      <c r="J801" s="31">
        <v>1.0777000000000001</v>
      </c>
      <c r="K801" s="52">
        <f t="shared" si="195"/>
        <v>85655.607854699992</v>
      </c>
      <c r="L801" s="52">
        <f t="shared" si="208"/>
        <v>1199178.5099657997</v>
      </c>
    </row>
    <row r="802" spans="1:12" ht="30" customHeight="1" x14ac:dyDescent="0.2">
      <c r="A802" s="27" t="s">
        <v>3314</v>
      </c>
      <c r="B802" s="27" t="s">
        <v>3154</v>
      </c>
      <c r="C802" s="27"/>
      <c r="D802" s="31">
        <f>D801+1.517</f>
        <v>15.313000000000002</v>
      </c>
      <c r="E802" s="52">
        <v>33409</v>
      </c>
      <c r="F802" s="31">
        <v>1.2</v>
      </c>
      <c r="G802" s="31">
        <v>1.22</v>
      </c>
      <c r="H802" s="31">
        <v>1.25</v>
      </c>
      <c r="I802" s="31">
        <v>1.3</v>
      </c>
      <c r="J802" s="31">
        <v>1.0777000000000001</v>
      </c>
      <c r="K802" s="52">
        <f t="shared" si="195"/>
        <v>85655.607854699992</v>
      </c>
      <c r="L802" s="52">
        <f t="shared" si="208"/>
        <v>1284834.1178204997</v>
      </c>
    </row>
    <row r="803" spans="1:12" ht="30" customHeight="1" x14ac:dyDescent="0.2">
      <c r="A803" s="27" t="s">
        <v>3315</v>
      </c>
      <c r="B803" s="27" t="s">
        <v>2303</v>
      </c>
      <c r="C803" s="27"/>
      <c r="D803" s="31">
        <f t="shared" ref="D803:D809" si="210">D802+0.983</f>
        <v>16.296000000000003</v>
      </c>
      <c r="E803" s="52">
        <v>33409</v>
      </c>
      <c r="F803" s="31">
        <v>1.2</v>
      </c>
      <c r="G803" s="31">
        <v>1.22</v>
      </c>
      <c r="H803" s="31">
        <v>1.25</v>
      </c>
      <c r="I803" s="31">
        <v>1.3</v>
      </c>
      <c r="J803" s="31">
        <v>1.0777000000000001</v>
      </c>
      <c r="K803" s="52">
        <f t="shared" si="195"/>
        <v>85655.607854699992</v>
      </c>
      <c r="L803" s="52">
        <f t="shared" si="208"/>
        <v>1370489.7256751996</v>
      </c>
    </row>
    <row r="804" spans="1:12" ht="30" customHeight="1" x14ac:dyDescent="0.2">
      <c r="A804" s="27" t="s">
        <v>3316</v>
      </c>
      <c r="B804" s="27" t="s">
        <v>2274</v>
      </c>
      <c r="C804" s="27"/>
      <c r="D804" s="31">
        <f t="shared" si="210"/>
        <v>17.279000000000003</v>
      </c>
      <c r="E804" s="52">
        <v>33409</v>
      </c>
      <c r="F804" s="31">
        <v>1.2</v>
      </c>
      <c r="G804" s="31">
        <v>1.22</v>
      </c>
      <c r="H804" s="31">
        <v>1.25</v>
      </c>
      <c r="I804" s="31">
        <v>1.3</v>
      </c>
      <c r="J804" s="31">
        <v>1.0777000000000001</v>
      </c>
      <c r="K804" s="52">
        <f t="shared" si="195"/>
        <v>85655.607854699992</v>
      </c>
      <c r="L804" s="52">
        <f t="shared" si="208"/>
        <v>1456145.3335298996</v>
      </c>
    </row>
    <row r="805" spans="1:12" ht="30" customHeight="1" x14ac:dyDescent="0.2">
      <c r="A805" s="27" t="s">
        <v>3317</v>
      </c>
      <c r="B805" s="27" t="s">
        <v>2276</v>
      </c>
      <c r="C805" s="27"/>
      <c r="D805" s="31">
        <f t="shared" si="210"/>
        <v>18.262000000000004</v>
      </c>
      <c r="E805" s="52">
        <v>33409</v>
      </c>
      <c r="F805" s="31">
        <v>1.2</v>
      </c>
      <c r="G805" s="31">
        <v>1.22</v>
      </c>
      <c r="H805" s="31">
        <v>1.25</v>
      </c>
      <c r="I805" s="31">
        <v>1.3</v>
      </c>
      <c r="J805" s="31">
        <v>1.0777000000000001</v>
      </c>
      <c r="K805" s="52">
        <f t="shared" si="195"/>
        <v>85655.607854699992</v>
      </c>
      <c r="L805" s="52">
        <f t="shared" si="208"/>
        <v>1541800.9413845995</v>
      </c>
    </row>
    <row r="806" spans="1:12" ht="30" customHeight="1" x14ac:dyDescent="0.2">
      <c r="A806" s="27" t="s">
        <v>3318</v>
      </c>
      <c r="B806" s="27" t="s">
        <v>2278</v>
      </c>
      <c r="C806" s="27"/>
      <c r="D806" s="31">
        <f t="shared" si="210"/>
        <v>19.245000000000005</v>
      </c>
      <c r="E806" s="52">
        <v>33409</v>
      </c>
      <c r="F806" s="31">
        <v>1.2</v>
      </c>
      <c r="G806" s="31">
        <v>1.22</v>
      </c>
      <c r="H806" s="31">
        <v>1.25</v>
      </c>
      <c r="I806" s="31">
        <v>1.3</v>
      </c>
      <c r="J806" s="31">
        <v>1.0777000000000001</v>
      </c>
      <c r="K806" s="52">
        <f t="shared" si="195"/>
        <v>85655.607854699992</v>
      </c>
      <c r="L806" s="52">
        <f t="shared" si="208"/>
        <v>1627456.5492392995</v>
      </c>
    </row>
    <row r="807" spans="1:12" ht="30" customHeight="1" x14ac:dyDescent="0.2">
      <c r="A807" s="27" t="s">
        <v>3319</v>
      </c>
      <c r="B807" s="27" t="s">
        <v>2280</v>
      </c>
      <c r="C807" s="27"/>
      <c r="D807" s="31">
        <f t="shared" si="210"/>
        <v>20.228000000000005</v>
      </c>
      <c r="E807" s="52">
        <v>33409</v>
      </c>
      <c r="F807" s="31">
        <v>1.2</v>
      </c>
      <c r="G807" s="31">
        <v>1.22</v>
      </c>
      <c r="H807" s="31">
        <v>1.25</v>
      </c>
      <c r="I807" s="31">
        <v>1.3</v>
      </c>
      <c r="J807" s="31">
        <v>1.0777000000000001</v>
      </c>
      <c r="K807" s="52">
        <f t="shared" si="195"/>
        <v>85655.607854699992</v>
      </c>
      <c r="L807" s="52">
        <f t="shared" si="208"/>
        <v>1713112.1570939994</v>
      </c>
    </row>
    <row r="808" spans="1:12" ht="30" customHeight="1" x14ac:dyDescent="0.2">
      <c r="A808" s="27" t="s">
        <v>3320</v>
      </c>
      <c r="B808" s="27" t="s">
        <v>2309</v>
      </c>
      <c r="C808" s="27"/>
      <c r="D808" s="31">
        <f t="shared" si="210"/>
        <v>21.211000000000006</v>
      </c>
      <c r="E808" s="52">
        <v>33409</v>
      </c>
      <c r="F808" s="31">
        <v>1.2</v>
      </c>
      <c r="G808" s="31">
        <v>1.22</v>
      </c>
      <c r="H808" s="31">
        <v>1.25</v>
      </c>
      <c r="I808" s="31">
        <v>1.3</v>
      </c>
      <c r="J808" s="31">
        <v>1.0777000000000001</v>
      </c>
      <c r="K808" s="52">
        <f t="shared" si="195"/>
        <v>85655.607854699992</v>
      </c>
      <c r="L808" s="52">
        <f t="shared" si="208"/>
        <v>1798767.7649486994</v>
      </c>
    </row>
    <row r="809" spans="1:12" ht="30" customHeight="1" x14ac:dyDescent="0.2">
      <c r="A809" s="27" t="s">
        <v>3321</v>
      </c>
      <c r="B809" s="27" t="s">
        <v>2284</v>
      </c>
      <c r="C809" s="27"/>
      <c r="D809" s="31">
        <f t="shared" si="210"/>
        <v>22.194000000000006</v>
      </c>
      <c r="E809" s="52">
        <v>33409</v>
      </c>
      <c r="F809" s="31">
        <v>1.2</v>
      </c>
      <c r="G809" s="31">
        <v>1.22</v>
      </c>
      <c r="H809" s="31">
        <v>1.25</v>
      </c>
      <c r="I809" s="31">
        <v>1.3</v>
      </c>
      <c r="J809" s="31">
        <v>1.0777000000000001</v>
      </c>
      <c r="K809" s="52">
        <f t="shared" si="195"/>
        <v>85655.607854699992</v>
      </c>
      <c r="L809" s="52">
        <f t="shared" si="208"/>
        <v>1884423.3728033993</v>
      </c>
    </row>
    <row r="810" spans="1:12" ht="30" customHeight="1" x14ac:dyDescent="0.2">
      <c r="A810" s="27" t="s">
        <v>3322</v>
      </c>
      <c r="B810" s="27" t="s">
        <v>3095</v>
      </c>
      <c r="C810" s="27"/>
      <c r="D810" s="31">
        <f>D809+1.517</f>
        <v>23.711000000000006</v>
      </c>
      <c r="E810" s="52">
        <v>33409</v>
      </c>
      <c r="F810" s="31">
        <v>1.2</v>
      </c>
      <c r="G810" s="31">
        <v>1.22</v>
      </c>
      <c r="H810" s="31">
        <v>1.25</v>
      </c>
      <c r="I810" s="31">
        <v>1.3</v>
      </c>
      <c r="J810" s="31">
        <v>1.0777000000000001</v>
      </c>
      <c r="K810" s="52">
        <f t="shared" si="195"/>
        <v>85655.607854699992</v>
      </c>
      <c r="L810" s="52">
        <f t="shared" si="208"/>
        <v>1970078.9806580993</v>
      </c>
    </row>
    <row r="811" spans="1:12" ht="30" customHeight="1" x14ac:dyDescent="0.2">
      <c r="A811" s="27" t="s">
        <v>3323</v>
      </c>
      <c r="B811" s="27" t="s">
        <v>2491</v>
      </c>
      <c r="C811" s="27"/>
      <c r="D811" s="31">
        <f t="shared" ref="D811:D816" si="211">D810+0.983</f>
        <v>24.694000000000006</v>
      </c>
      <c r="E811" s="52">
        <v>33409</v>
      </c>
      <c r="F811" s="31">
        <v>1.2</v>
      </c>
      <c r="G811" s="31">
        <v>1.22</v>
      </c>
      <c r="H811" s="31">
        <v>1.25</v>
      </c>
      <c r="I811" s="31">
        <v>1.3</v>
      </c>
      <c r="J811" s="31">
        <v>1.0777000000000001</v>
      </c>
      <c r="K811" s="52">
        <f t="shared" si="195"/>
        <v>85655.607854699992</v>
      </c>
      <c r="L811" s="52">
        <f t="shared" si="208"/>
        <v>2055734.5885127992</v>
      </c>
    </row>
    <row r="812" spans="1:12" ht="30" customHeight="1" x14ac:dyDescent="0.2">
      <c r="A812" s="27" t="s">
        <v>3324</v>
      </c>
      <c r="B812" s="27" t="s">
        <v>3098</v>
      </c>
      <c r="C812" s="27"/>
      <c r="D812" s="31">
        <f t="shared" si="211"/>
        <v>25.677000000000007</v>
      </c>
      <c r="E812" s="52">
        <v>33409</v>
      </c>
      <c r="F812" s="31">
        <v>1.2</v>
      </c>
      <c r="G812" s="31">
        <v>1.22</v>
      </c>
      <c r="H812" s="31">
        <v>1.25</v>
      </c>
      <c r="I812" s="31">
        <v>1.3</v>
      </c>
      <c r="J812" s="31">
        <v>1.0777000000000001</v>
      </c>
      <c r="K812" s="52">
        <f t="shared" si="195"/>
        <v>85655.607854699992</v>
      </c>
      <c r="L812" s="52">
        <f t="shared" si="208"/>
        <v>2141390.1963674994</v>
      </c>
    </row>
    <row r="813" spans="1:12" ht="30" customHeight="1" x14ac:dyDescent="0.2">
      <c r="A813" s="27" t="s">
        <v>3325</v>
      </c>
      <c r="B813" s="27" t="s">
        <v>3100</v>
      </c>
      <c r="C813" s="27"/>
      <c r="D813" s="31">
        <f t="shared" si="211"/>
        <v>26.660000000000007</v>
      </c>
      <c r="E813" s="52">
        <v>33409</v>
      </c>
      <c r="F813" s="31">
        <v>1.2</v>
      </c>
      <c r="G813" s="31">
        <v>1.22</v>
      </c>
      <c r="H813" s="31">
        <v>1.25</v>
      </c>
      <c r="I813" s="31">
        <v>1.3</v>
      </c>
      <c r="J813" s="31">
        <v>1.0777000000000001</v>
      </c>
      <c r="K813" s="52">
        <f t="shared" si="195"/>
        <v>85655.607854699992</v>
      </c>
      <c r="L813" s="52">
        <f t="shared" si="208"/>
        <v>2227045.8042221996</v>
      </c>
    </row>
    <row r="814" spans="1:12" ht="30" customHeight="1" x14ac:dyDescent="0.2">
      <c r="A814" s="27" t="s">
        <v>3326</v>
      </c>
      <c r="B814" s="27" t="s">
        <v>3102</v>
      </c>
      <c r="C814" s="27"/>
      <c r="D814" s="31">
        <f t="shared" si="211"/>
        <v>27.643000000000008</v>
      </c>
      <c r="E814" s="52">
        <v>33409</v>
      </c>
      <c r="F814" s="31">
        <v>1.2</v>
      </c>
      <c r="G814" s="31">
        <v>1.22</v>
      </c>
      <c r="H814" s="31">
        <v>1.25</v>
      </c>
      <c r="I814" s="31">
        <v>1.3</v>
      </c>
      <c r="J814" s="31">
        <v>1.0777000000000001</v>
      </c>
      <c r="K814" s="52">
        <f t="shared" si="195"/>
        <v>85655.607854699992</v>
      </c>
      <c r="L814" s="52">
        <f t="shared" si="208"/>
        <v>2312701.4120768998</v>
      </c>
    </row>
    <row r="815" spans="1:12" ht="30" customHeight="1" x14ac:dyDescent="0.2">
      <c r="A815" s="27" t="s">
        <v>3327</v>
      </c>
      <c r="B815" s="27" t="s">
        <v>3104</v>
      </c>
      <c r="C815" s="27"/>
      <c r="D815" s="31">
        <f t="shared" si="211"/>
        <v>28.626000000000008</v>
      </c>
      <c r="E815" s="52">
        <v>33409</v>
      </c>
      <c r="F815" s="31">
        <v>1.2</v>
      </c>
      <c r="G815" s="31">
        <v>1.22</v>
      </c>
      <c r="H815" s="31">
        <v>1.25</v>
      </c>
      <c r="I815" s="31">
        <v>1.3</v>
      </c>
      <c r="J815" s="31">
        <v>1.0777000000000001</v>
      </c>
      <c r="K815" s="52">
        <f t="shared" si="195"/>
        <v>85655.607854699992</v>
      </c>
      <c r="L815" s="52">
        <f t="shared" si="208"/>
        <v>2398357.0199316</v>
      </c>
    </row>
    <row r="816" spans="1:12" ht="30" customHeight="1" x14ac:dyDescent="0.2">
      <c r="A816" s="27" t="s">
        <v>3328</v>
      </c>
      <c r="B816" s="27" t="s">
        <v>3106</v>
      </c>
      <c r="C816" s="27"/>
      <c r="D816" s="31">
        <f t="shared" si="211"/>
        <v>29.609000000000009</v>
      </c>
      <c r="E816" s="52">
        <v>33409</v>
      </c>
      <c r="F816" s="31">
        <v>1.2</v>
      </c>
      <c r="G816" s="31">
        <v>1.22</v>
      </c>
      <c r="H816" s="31">
        <v>1.25</v>
      </c>
      <c r="I816" s="31">
        <v>1.3</v>
      </c>
      <c r="J816" s="31">
        <v>1.0777000000000001</v>
      </c>
      <c r="K816" s="52">
        <f t="shared" si="195"/>
        <v>85655.607854699992</v>
      </c>
      <c r="L816" s="52">
        <f t="shared" si="208"/>
        <v>2484012.6277863001</v>
      </c>
    </row>
    <row r="817" spans="1:12" ht="30" customHeight="1" x14ac:dyDescent="0.2">
      <c r="A817" s="27" t="s">
        <v>3329</v>
      </c>
      <c r="B817" s="27" t="s">
        <v>3330</v>
      </c>
      <c r="C817" s="27"/>
      <c r="D817" s="31">
        <f>D816+1.517</f>
        <v>31.126000000000008</v>
      </c>
      <c r="E817" s="52">
        <v>33409</v>
      </c>
      <c r="F817" s="31">
        <v>1.2</v>
      </c>
      <c r="G817" s="31">
        <v>1.22</v>
      </c>
      <c r="H817" s="31">
        <v>1.25</v>
      </c>
      <c r="I817" s="31">
        <v>1.3</v>
      </c>
      <c r="J817" s="31">
        <v>1.0777000000000001</v>
      </c>
      <c r="K817" s="52">
        <f t="shared" si="195"/>
        <v>85655.607854699992</v>
      </c>
      <c r="L817" s="52">
        <f t="shared" si="208"/>
        <v>2569668.2356410003</v>
      </c>
    </row>
    <row r="818" spans="1:12" ht="30" customHeight="1" x14ac:dyDescent="0.2">
      <c r="A818" s="27" t="s">
        <v>3331</v>
      </c>
      <c r="B818" s="27" t="s">
        <v>3110</v>
      </c>
      <c r="C818" s="27"/>
      <c r="D818" s="31">
        <f t="shared" ref="D818:D821" si="212">D817+0.983</f>
        <v>32.109000000000009</v>
      </c>
      <c r="E818" s="52">
        <v>33409</v>
      </c>
      <c r="F818" s="31">
        <v>1.2</v>
      </c>
      <c r="G818" s="31">
        <v>1.22</v>
      </c>
      <c r="H818" s="31">
        <v>1.25</v>
      </c>
      <c r="I818" s="31">
        <v>1.3</v>
      </c>
      <c r="J818" s="31">
        <v>1.0777000000000001</v>
      </c>
      <c r="K818" s="52">
        <f t="shared" si="195"/>
        <v>85655.607854699992</v>
      </c>
      <c r="L818" s="52">
        <f t="shared" si="208"/>
        <v>2655323.8434957005</v>
      </c>
    </row>
    <row r="819" spans="1:12" ht="30" customHeight="1" x14ac:dyDescent="0.2">
      <c r="A819" s="27" t="s">
        <v>3332</v>
      </c>
      <c r="B819" s="27" t="s">
        <v>3112</v>
      </c>
      <c r="C819" s="27"/>
      <c r="D819" s="31">
        <f t="shared" si="212"/>
        <v>33.092000000000006</v>
      </c>
      <c r="E819" s="52">
        <v>33409</v>
      </c>
      <c r="F819" s="31">
        <v>1.2</v>
      </c>
      <c r="G819" s="31">
        <v>1.22</v>
      </c>
      <c r="H819" s="31">
        <v>1.25</v>
      </c>
      <c r="I819" s="31">
        <v>1.3</v>
      </c>
      <c r="J819" s="31">
        <v>1.0777000000000001</v>
      </c>
      <c r="K819" s="52">
        <f t="shared" si="195"/>
        <v>85655.607854699992</v>
      </c>
      <c r="L819" s="52">
        <f t="shared" si="208"/>
        <v>2740979.4513504007</v>
      </c>
    </row>
    <row r="820" spans="1:12" ht="30" customHeight="1" x14ac:dyDescent="0.2">
      <c r="A820" s="27" t="s">
        <v>3333</v>
      </c>
      <c r="B820" s="27" t="s">
        <v>3114</v>
      </c>
      <c r="C820" s="27"/>
      <c r="D820" s="31">
        <f t="shared" si="212"/>
        <v>34.075000000000003</v>
      </c>
      <c r="E820" s="52">
        <v>33409</v>
      </c>
      <c r="F820" s="31">
        <v>1.2</v>
      </c>
      <c r="G820" s="31">
        <v>1.22</v>
      </c>
      <c r="H820" s="31">
        <v>1.25</v>
      </c>
      <c r="I820" s="31">
        <v>1.3</v>
      </c>
      <c r="J820" s="31">
        <v>1.0777000000000001</v>
      </c>
      <c r="K820" s="52">
        <f t="shared" si="195"/>
        <v>85655.607854699992</v>
      </c>
      <c r="L820" s="52">
        <f t="shared" si="208"/>
        <v>2826635.0592051009</v>
      </c>
    </row>
    <row r="821" spans="1:12" ht="30" customHeight="1" x14ac:dyDescent="0.2">
      <c r="A821" s="27" t="s">
        <v>3334</v>
      </c>
      <c r="B821" s="27" t="s">
        <v>3116</v>
      </c>
      <c r="C821" s="27"/>
      <c r="D821" s="31">
        <f t="shared" si="212"/>
        <v>35.058</v>
      </c>
      <c r="E821" s="52">
        <v>33409</v>
      </c>
      <c r="F821" s="31">
        <v>1.2</v>
      </c>
      <c r="G821" s="31">
        <v>1.22</v>
      </c>
      <c r="H821" s="31">
        <v>1.25</v>
      </c>
      <c r="I821" s="31">
        <v>1.3</v>
      </c>
      <c r="J821" s="31">
        <v>1.0777000000000001</v>
      </c>
      <c r="K821" s="52">
        <f t="shared" si="195"/>
        <v>85655.607854699992</v>
      </c>
      <c r="L821" s="52">
        <f t="shared" si="208"/>
        <v>2912290.6670598011</v>
      </c>
    </row>
    <row r="822" spans="1:12" ht="30" customHeight="1" x14ac:dyDescent="0.2">
      <c r="A822" s="27" t="s">
        <v>3335</v>
      </c>
      <c r="B822" s="27" t="s">
        <v>2779</v>
      </c>
      <c r="C822" s="27"/>
      <c r="D822" s="31">
        <v>0.61599999999999999</v>
      </c>
      <c r="E822" s="52">
        <v>138585</v>
      </c>
      <c r="F822" s="31"/>
      <c r="G822" s="31">
        <v>1.22</v>
      </c>
      <c r="H822" s="31">
        <v>1.25</v>
      </c>
      <c r="I822" s="31">
        <v>1.3</v>
      </c>
      <c r="J822" s="31"/>
      <c r="K822" s="52">
        <f t="shared" si="195"/>
        <v>274744.76249999995</v>
      </c>
      <c r="L822" s="52">
        <f>K822</f>
        <v>274744.76249999995</v>
      </c>
    </row>
    <row r="823" spans="1:12" ht="30" customHeight="1" x14ac:dyDescent="0.2">
      <c r="A823" s="27" t="s">
        <v>3336</v>
      </c>
      <c r="B823" s="27" t="s">
        <v>2781</v>
      </c>
      <c r="C823" s="27"/>
      <c r="D823" s="31">
        <f t="shared" ref="D823:D825" si="213">D822+1.85</f>
        <v>2.4660000000000002</v>
      </c>
      <c r="E823" s="52">
        <v>138585</v>
      </c>
      <c r="F823" s="31"/>
      <c r="G823" s="31">
        <v>1.22</v>
      </c>
      <c r="H823" s="31">
        <v>1.25</v>
      </c>
      <c r="I823" s="31">
        <v>1.3</v>
      </c>
      <c r="J823" s="31"/>
      <c r="K823" s="52">
        <f t="shared" si="195"/>
        <v>274744.76249999995</v>
      </c>
      <c r="L823" s="52">
        <f t="shared" ref="L823:L825" si="214">K823+L822</f>
        <v>549489.52499999991</v>
      </c>
    </row>
    <row r="824" spans="1:12" ht="30" customHeight="1" x14ac:dyDescent="0.2">
      <c r="A824" s="27" t="s">
        <v>3337</v>
      </c>
      <c r="B824" s="27" t="s">
        <v>2783</v>
      </c>
      <c r="C824" s="27"/>
      <c r="D824" s="31">
        <f t="shared" si="213"/>
        <v>4.3160000000000007</v>
      </c>
      <c r="E824" s="52">
        <v>138585</v>
      </c>
      <c r="F824" s="31"/>
      <c r="G824" s="31">
        <v>1.22</v>
      </c>
      <c r="H824" s="31">
        <v>1.25</v>
      </c>
      <c r="I824" s="31">
        <v>1.3</v>
      </c>
      <c r="J824" s="31"/>
      <c r="K824" s="52">
        <f t="shared" si="195"/>
        <v>274744.76249999995</v>
      </c>
      <c r="L824" s="52">
        <f t="shared" si="214"/>
        <v>824234.28749999986</v>
      </c>
    </row>
    <row r="825" spans="1:12" ht="30" customHeight="1" x14ac:dyDescent="0.2">
      <c r="A825" s="27" t="s">
        <v>3338</v>
      </c>
      <c r="B825" s="27" t="s">
        <v>2785</v>
      </c>
      <c r="C825" s="27"/>
      <c r="D825" s="31">
        <f t="shared" si="213"/>
        <v>6.1660000000000004</v>
      </c>
      <c r="E825" s="52">
        <v>138585</v>
      </c>
      <c r="F825" s="31"/>
      <c r="G825" s="31">
        <v>1.22</v>
      </c>
      <c r="H825" s="31">
        <v>1.25</v>
      </c>
      <c r="I825" s="31">
        <v>1.3</v>
      </c>
      <c r="J825" s="31"/>
      <c r="K825" s="52">
        <f t="shared" si="195"/>
        <v>274744.76249999995</v>
      </c>
      <c r="L825" s="52">
        <f t="shared" si="214"/>
        <v>1098979.0499999998</v>
      </c>
    </row>
    <row r="826" spans="1:12" ht="30" customHeight="1" x14ac:dyDescent="0.2">
      <c r="A826" s="27" t="s">
        <v>3339</v>
      </c>
      <c r="B826" s="27" t="s">
        <v>2779</v>
      </c>
      <c r="C826" s="27"/>
      <c r="D826" s="31">
        <v>0.61599999999999999</v>
      </c>
      <c r="E826" s="52">
        <v>138585</v>
      </c>
      <c r="F826" s="31"/>
      <c r="G826" s="31">
        <v>1.22</v>
      </c>
      <c r="H826" s="31">
        <v>1.25</v>
      </c>
      <c r="I826" s="31">
        <v>1.3</v>
      </c>
      <c r="J826" s="31"/>
      <c r="K826" s="52">
        <f t="shared" si="195"/>
        <v>274744.76249999995</v>
      </c>
      <c r="L826" s="52">
        <f>K826</f>
        <v>274744.76249999995</v>
      </c>
    </row>
    <row r="827" spans="1:12" ht="30" customHeight="1" x14ac:dyDescent="0.2">
      <c r="A827" s="27" t="s">
        <v>3340</v>
      </c>
      <c r="B827" s="27" t="s">
        <v>2781</v>
      </c>
      <c r="C827" s="27"/>
      <c r="D827" s="31">
        <f t="shared" ref="D827:D828" si="215">D826+1.517</f>
        <v>2.133</v>
      </c>
      <c r="E827" s="52">
        <v>138585</v>
      </c>
      <c r="F827" s="31"/>
      <c r="G827" s="31">
        <v>1.22</v>
      </c>
      <c r="H827" s="31">
        <v>1.25</v>
      </c>
      <c r="I827" s="31">
        <v>1.3</v>
      </c>
      <c r="J827" s="31"/>
      <c r="K827" s="52">
        <f t="shared" si="195"/>
        <v>274744.76249999995</v>
      </c>
      <c r="L827" s="52">
        <f t="shared" ref="L827:L828" si="216">K827+L826</f>
        <v>549489.52499999991</v>
      </c>
    </row>
    <row r="828" spans="1:12" ht="30" customHeight="1" x14ac:dyDescent="0.2">
      <c r="A828" s="27" t="s">
        <v>3341</v>
      </c>
      <c r="B828" s="27" t="s">
        <v>2783</v>
      </c>
      <c r="C828" s="27"/>
      <c r="D828" s="31">
        <f t="shared" si="215"/>
        <v>3.65</v>
      </c>
      <c r="E828" s="52">
        <v>138585</v>
      </c>
      <c r="F828" s="31"/>
      <c r="G828" s="31">
        <v>1.22</v>
      </c>
      <c r="H828" s="31">
        <v>1.25</v>
      </c>
      <c r="I828" s="31">
        <v>1.3</v>
      </c>
      <c r="J828" s="31"/>
      <c r="K828" s="52">
        <f t="shared" si="195"/>
        <v>274744.76249999995</v>
      </c>
      <c r="L828" s="52">
        <f t="shared" si="216"/>
        <v>824234.28749999986</v>
      </c>
    </row>
    <row r="829" spans="1:12" ht="30" customHeight="1" x14ac:dyDescent="0.2">
      <c r="A829" s="27" t="s">
        <v>3342</v>
      </c>
      <c r="B829" s="27" t="s">
        <v>2540</v>
      </c>
      <c r="C829" s="27"/>
      <c r="D829" s="31">
        <v>3.1160000000000001</v>
      </c>
      <c r="E829" s="52">
        <f t="shared" ref="E829:E839" si="217">24034+29374+88117+16022</f>
        <v>157547</v>
      </c>
      <c r="F829" s="31"/>
      <c r="G829" s="31">
        <v>1.22</v>
      </c>
      <c r="H829" s="31">
        <v>1.25</v>
      </c>
      <c r="I829" s="31">
        <v>1.3</v>
      </c>
      <c r="J829" s="31"/>
      <c r="K829" s="52">
        <f t="shared" si="195"/>
        <v>312336.92749999999</v>
      </c>
      <c r="L829" s="52">
        <f>K829</f>
        <v>312336.92749999999</v>
      </c>
    </row>
    <row r="830" spans="1:12" ht="30" customHeight="1" x14ac:dyDescent="0.2">
      <c r="A830" s="27" t="s">
        <v>3343</v>
      </c>
      <c r="B830" s="27" t="s">
        <v>2542</v>
      </c>
      <c r="C830" s="27"/>
      <c r="D830" s="31">
        <f t="shared" ref="D830:D839" si="218">D829+3.116</f>
        <v>6.2320000000000002</v>
      </c>
      <c r="E830" s="52">
        <f t="shared" si="217"/>
        <v>157547</v>
      </c>
      <c r="F830" s="31"/>
      <c r="G830" s="31">
        <v>1.22</v>
      </c>
      <c r="H830" s="31">
        <v>1.25</v>
      </c>
      <c r="I830" s="31">
        <v>1.3</v>
      </c>
      <c r="J830" s="31"/>
      <c r="K830" s="52">
        <f t="shared" si="195"/>
        <v>312336.92749999999</v>
      </c>
      <c r="L830" s="52">
        <f t="shared" ref="L830:L840" si="219">K830+L829</f>
        <v>624673.85499999998</v>
      </c>
    </row>
    <row r="831" spans="1:12" ht="30" customHeight="1" x14ac:dyDescent="0.2">
      <c r="A831" s="27" t="s">
        <v>3344</v>
      </c>
      <c r="B831" s="27" t="s">
        <v>2544</v>
      </c>
      <c r="C831" s="27"/>
      <c r="D831" s="31">
        <f t="shared" si="218"/>
        <v>9.3480000000000008</v>
      </c>
      <c r="E831" s="52">
        <f t="shared" si="217"/>
        <v>157547</v>
      </c>
      <c r="F831" s="31"/>
      <c r="G831" s="31">
        <v>1.22</v>
      </c>
      <c r="H831" s="31">
        <v>1.25</v>
      </c>
      <c r="I831" s="31">
        <v>1.3</v>
      </c>
      <c r="J831" s="31"/>
      <c r="K831" s="52">
        <f t="shared" si="195"/>
        <v>312336.92749999999</v>
      </c>
      <c r="L831" s="52">
        <f t="shared" si="219"/>
        <v>937010.78249999997</v>
      </c>
    </row>
    <row r="832" spans="1:12" ht="30" customHeight="1" x14ac:dyDescent="0.2">
      <c r="A832" s="27" t="s">
        <v>3345</v>
      </c>
      <c r="B832" s="27" t="s">
        <v>2546</v>
      </c>
      <c r="C832" s="27"/>
      <c r="D832" s="31">
        <f t="shared" si="218"/>
        <v>12.464</v>
      </c>
      <c r="E832" s="52">
        <f t="shared" si="217"/>
        <v>157547</v>
      </c>
      <c r="F832" s="31"/>
      <c r="G832" s="31">
        <v>1.22</v>
      </c>
      <c r="H832" s="31">
        <v>1.25</v>
      </c>
      <c r="I832" s="31">
        <v>1.3</v>
      </c>
      <c r="J832" s="31"/>
      <c r="K832" s="52">
        <f t="shared" si="195"/>
        <v>312336.92749999999</v>
      </c>
      <c r="L832" s="52">
        <f t="shared" si="219"/>
        <v>1249347.71</v>
      </c>
    </row>
    <row r="833" spans="1:12" ht="30" customHeight="1" x14ac:dyDescent="0.2">
      <c r="A833" s="27" t="s">
        <v>3346</v>
      </c>
      <c r="B833" s="27" t="s">
        <v>2548</v>
      </c>
      <c r="C833" s="27"/>
      <c r="D833" s="31">
        <f t="shared" si="218"/>
        <v>15.58</v>
      </c>
      <c r="E833" s="52">
        <f t="shared" si="217"/>
        <v>157547</v>
      </c>
      <c r="F833" s="31"/>
      <c r="G833" s="31">
        <v>1.22</v>
      </c>
      <c r="H833" s="31">
        <v>1.25</v>
      </c>
      <c r="I833" s="31">
        <v>1.3</v>
      </c>
      <c r="J833" s="31"/>
      <c r="K833" s="52">
        <f t="shared" si="195"/>
        <v>312336.92749999999</v>
      </c>
      <c r="L833" s="52">
        <f t="shared" si="219"/>
        <v>1561684.6375</v>
      </c>
    </row>
    <row r="834" spans="1:12" ht="30" customHeight="1" x14ac:dyDescent="0.2">
      <c r="A834" s="27" t="s">
        <v>3347</v>
      </c>
      <c r="B834" s="27" t="s">
        <v>2550</v>
      </c>
      <c r="C834" s="27"/>
      <c r="D834" s="31">
        <f t="shared" si="218"/>
        <v>18.696000000000002</v>
      </c>
      <c r="E834" s="52">
        <f t="shared" si="217"/>
        <v>157547</v>
      </c>
      <c r="F834" s="31"/>
      <c r="G834" s="31">
        <v>1.22</v>
      </c>
      <c r="H834" s="31">
        <v>1.25</v>
      </c>
      <c r="I834" s="31">
        <v>1.3</v>
      </c>
      <c r="J834" s="31"/>
      <c r="K834" s="52">
        <f t="shared" si="195"/>
        <v>312336.92749999999</v>
      </c>
      <c r="L834" s="52">
        <f t="shared" si="219"/>
        <v>1874021.5649999999</v>
      </c>
    </row>
    <row r="835" spans="1:12" ht="30" customHeight="1" x14ac:dyDescent="0.2">
      <c r="A835" s="27" t="s">
        <v>3348</v>
      </c>
      <c r="B835" s="27" t="s">
        <v>2552</v>
      </c>
      <c r="C835" s="27"/>
      <c r="D835" s="31">
        <f t="shared" si="218"/>
        <v>21.812000000000001</v>
      </c>
      <c r="E835" s="52">
        <f t="shared" si="217"/>
        <v>157547</v>
      </c>
      <c r="F835" s="31"/>
      <c r="G835" s="31">
        <v>1.22</v>
      </c>
      <c r="H835" s="31">
        <v>1.25</v>
      </c>
      <c r="I835" s="31">
        <v>1.3</v>
      </c>
      <c r="J835" s="31"/>
      <c r="K835" s="52">
        <f t="shared" si="195"/>
        <v>312336.92749999999</v>
      </c>
      <c r="L835" s="52">
        <f t="shared" si="219"/>
        <v>2186358.4924999997</v>
      </c>
    </row>
    <row r="836" spans="1:12" ht="30" customHeight="1" x14ac:dyDescent="0.2">
      <c r="A836" s="27" t="s">
        <v>3349</v>
      </c>
      <c r="B836" s="27" t="s">
        <v>2563</v>
      </c>
      <c r="C836" s="27"/>
      <c r="D836" s="31">
        <f t="shared" si="218"/>
        <v>24.928000000000001</v>
      </c>
      <c r="E836" s="52">
        <f t="shared" si="217"/>
        <v>157547</v>
      </c>
      <c r="F836" s="31"/>
      <c r="G836" s="31">
        <v>1.22</v>
      </c>
      <c r="H836" s="31">
        <v>1.25</v>
      </c>
      <c r="I836" s="31">
        <v>1.3</v>
      </c>
      <c r="J836" s="31"/>
      <c r="K836" s="52">
        <f t="shared" si="195"/>
        <v>312336.92749999999</v>
      </c>
      <c r="L836" s="52">
        <f t="shared" si="219"/>
        <v>2498695.42</v>
      </c>
    </row>
    <row r="837" spans="1:12" ht="30" customHeight="1" x14ac:dyDescent="0.2">
      <c r="A837" s="27" t="s">
        <v>3350</v>
      </c>
      <c r="B837" s="27" t="s">
        <v>2565</v>
      </c>
      <c r="C837" s="27"/>
      <c r="D837" s="31">
        <f t="shared" si="218"/>
        <v>28.044</v>
      </c>
      <c r="E837" s="52">
        <f t="shared" si="217"/>
        <v>157547</v>
      </c>
      <c r="F837" s="31"/>
      <c r="G837" s="31">
        <v>1.22</v>
      </c>
      <c r="H837" s="31">
        <v>1.25</v>
      </c>
      <c r="I837" s="31">
        <v>1.3</v>
      </c>
      <c r="J837" s="31"/>
      <c r="K837" s="52">
        <f t="shared" si="195"/>
        <v>312336.92749999999</v>
      </c>
      <c r="L837" s="52">
        <f t="shared" si="219"/>
        <v>2811032.3475000001</v>
      </c>
    </row>
    <row r="838" spans="1:12" ht="30" customHeight="1" x14ac:dyDescent="0.2">
      <c r="A838" s="27" t="s">
        <v>3351</v>
      </c>
      <c r="B838" s="27" t="s">
        <v>2567</v>
      </c>
      <c r="C838" s="27"/>
      <c r="D838" s="31">
        <f t="shared" si="218"/>
        <v>31.16</v>
      </c>
      <c r="E838" s="52">
        <f t="shared" si="217"/>
        <v>157547</v>
      </c>
      <c r="F838" s="31"/>
      <c r="G838" s="31">
        <v>1.22</v>
      </c>
      <c r="H838" s="31">
        <v>1.25</v>
      </c>
      <c r="I838" s="31">
        <v>1.3</v>
      </c>
      <c r="J838" s="31"/>
      <c r="K838" s="52">
        <f t="shared" si="195"/>
        <v>312336.92749999999</v>
      </c>
      <c r="L838" s="52">
        <f t="shared" si="219"/>
        <v>3123369.2750000004</v>
      </c>
    </row>
    <row r="839" spans="1:12" ht="30" customHeight="1" x14ac:dyDescent="0.2">
      <c r="A839" s="27" t="s">
        <v>3352</v>
      </c>
      <c r="B839" s="27" t="s">
        <v>2569</v>
      </c>
      <c r="C839" s="27"/>
      <c r="D839" s="31">
        <f t="shared" si="218"/>
        <v>34.276000000000003</v>
      </c>
      <c r="E839" s="52">
        <f t="shared" si="217"/>
        <v>157547</v>
      </c>
      <c r="F839" s="31"/>
      <c r="G839" s="31">
        <v>1.22</v>
      </c>
      <c r="H839" s="31">
        <v>1.25</v>
      </c>
      <c r="I839" s="31">
        <v>1.3</v>
      </c>
      <c r="J839" s="31"/>
      <c r="K839" s="52">
        <f t="shared" si="195"/>
        <v>312336.92749999999</v>
      </c>
      <c r="L839" s="52">
        <f t="shared" si="219"/>
        <v>3435706.2025000006</v>
      </c>
    </row>
    <row r="840" spans="1:12" ht="30" customHeight="1" x14ac:dyDescent="0.2">
      <c r="A840" s="27" t="s">
        <v>3353</v>
      </c>
      <c r="B840" s="27" t="s">
        <v>3354</v>
      </c>
      <c r="C840" s="27"/>
      <c r="D840" s="31">
        <f>D839+1.95</f>
        <v>36.226000000000006</v>
      </c>
      <c r="E840" s="52">
        <f>24034+29374+88117</f>
        <v>141525</v>
      </c>
      <c r="F840" s="31"/>
      <c r="G840" s="31">
        <v>1.22</v>
      </c>
      <c r="H840" s="31">
        <v>1.25</v>
      </c>
      <c r="I840" s="31">
        <v>1.3</v>
      </c>
      <c r="J840" s="31"/>
      <c r="K840" s="52">
        <f t="shared" si="195"/>
        <v>280573.3125</v>
      </c>
      <c r="L840" s="52">
        <f t="shared" si="219"/>
        <v>3716279.5150000006</v>
      </c>
    </row>
    <row r="841" spans="1:12" ht="30" customHeight="1" x14ac:dyDescent="0.2">
      <c r="A841" s="27" t="s">
        <v>3355</v>
      </c>
      <c r="B841" s="27" t="s">
        <v>2540</v>
      </c>
      <c r="C841" s="27"/>
      <c r="D841" s="31">
        <v>4.05</v>
      </c>
      <c r="E841" s="52">
        <f t="shared" ref="E841:E847" si="220">24034+29374+29374+87896+16022+16022</f>
        <v>202722</v>
      </c>
      <c r="F841" s="31"/>
      <c r="G841" s="31">
        <v>1.22</v>
      </c>
      <c r="H841" s="31">
        <v>1.25</v>
      </c>
      <c r="I841" s="31">
        <v>1.3</v>
      </c>
      <c r="J841" s="31"/>
      <c r="K841" s="52">
        <f t="shared" si="195"/>
        <v>401896.36499999999</v>
      </c>
      <c r="L841" s="52">
        <f>K841</f>
        <v>401896.36499999999</v>
      </c>
    </row>
    <row r="842" spans="1:12" ht="30" customHeight="1" x14ac:dyDescent="0.2">
      <c r="A842" s="27" t="s">
        <v>3356</v>
      </c>
      <c r="B842" s="27" t="s">
        <v>2542</v>
      </c>
      <c r="C842" s="27"/>
      <c r="D842" s="31">
        <f t="shared" ref="D842:D847" si="221">D841+4.05</f>
        <v>8.1</v>
      </c>
      <c r="E842" s="52">
        <f t="shared" si="220"/>
        <v>202722</v>
      </c>
      <c r="F842" s="31"/>
      <c r="G842" s="31">
        <v>1.22</v>
      </c>
      <c r="H842" s="31">
        <v>1.25</v>
      </c>
      <c r="I842" s="31">
        <v>1.3</v>
      </c>
      <c r="J842" s="31"/>
      <c r="K842" s="52">
        <f t="shared" si="195"/>
        <v>401896.36499999999</v>
      </c>
      <c r="L842" s="52">
        <f t="shared" ref="L842:L849" si="222">K842+L841</f>
        <v>803792.73</v>
      </c>
    </row>
    <row r="843" spans="1:12" ht="30" customHeight="1" x14ac:dyDescent="0.2">
      <c r="A843" s="27" t="s">
        <v>3357</v>
      </c>
      <c r="B843" s="27" t="s">
        <v>2544</v>
      </c>
      <c r="C843" s="27"/>
      <c r="D843" s="31">
        <f t="shared" si="221"/>
        <v>12.149999999999999</v>
      </c>
      <c r="E843" s="52">
        <f t="shared" si="220"/>
        <v>202722</v>
      </c>
      <c r="F843" s="31"/>
      <c r="G843" s="31">
        <v>1.22</v>
      </c>
      <c r="H843" s="31">
        <v>1.25</v>
      </c>
      <c r="I843" s="31">
        <v>1.3</v>
      </c>
      <c r="J843" s="31"/>
      <c r="K843" s="52">
        <f t="shared" si="195"/>
        <v>401896.36499999999</v>
      </c>
      <c r="L843" s="52">
        <f t="shared" si="222"/>
        <v>1205689.095</v>
      </c>
    </row>
    <row r="844" spans="1:12" ht="30" customHeight="1" x14ac:dyDescent="0.2">
      <c r="A844" s="27" t="s">
        <v>3358</v>
      </c>
      <c r="B844" s="27" t="s">
        <v>2546</v>
      </c>
      <c r="C844" s="27"/>
      <c r="D844" s="31">
        <f t="shared" si="221"/>
        <v>16.2</v>
      </c>
      <c r="E844" s="52">
        <f t="shared" si="220"/>
        <v>202722</v>
      </c>
      <c r="F844" s="31"/>
      <c r="G844" s="31">
        <v>1.22</v>
      </c>
      <c r="H844" s="31">
        <v>1.25</v>
      </c>
      <c r="I844" s="31">
        <v>1.3</v>
      </c>
      <c r="J844" s="31"/>
      <c r="K844" s="52">
        <f t="shared" si="195"/>
        <v>401896.36499999999</v>
      </c>
      <c r="L844" s="52">
        <f t="shared" si="222"/>
        <v>1607585.46</v>
      </c>
    </row>
    <row r="845" spans="1:12" ht="30" customHeight="1" x14ac:dyDescent="0.2">
      <c r="A845" s="27" t="s">
        <v>3359</v>
      </c>
      <c r="B845" s="27" t="s">
        <v>2548</v>
      </c>
      <c r="C845" s="27"/>
      <c r="D845" s="31">
        <f t="shared" si="221"/>
        <v>20.25</v>
      </c>
      <c r="E845" s="52">
        <f t="shared" si="220"/>
        <v>202722</v>
      </c>
      <c r="F845" s="31"/>
      <c r="G845" s="31">
        <v>1.22</v>
      </c>
      <c r="H845" s="31">
        <v>1.25</v>
      </c>
      <c r="I845" s="31">
        <v>1.3</v>
      </c>
      <c r="J845" s="31"/>
      <c r="K845" s="52">
        <f t="shared" si="195"/>
        <v>401896.36499999999</v>
      </c>
      <c r="L845" s="52">
        <f t="shared" si="222"/>
        <v>2009481.825</v>
      </c>
    </row>
    <row r="846" spans="1:12" ht="30" customHeight="1" x14ac:dyDescent="0.2">
      <c r="A846" s="27" t="s">
        <v>3360</v>
      </c>
      <c r="B846" s="27" t="s">
        <v>2550</v>
      </c>
      <c r="C846" s="27"/>
      <c r="D846" s="31">
        <f t="shared" si="221"/>
        <v>24.3</v>
      </c>
      <c r="E846" s="52">
        <f t="shared" si="220"/>
        <v>202722</v>
      </c>
      <c r="F846" s="31"/>
      <c r="G846" s="31">
        <v>1.22</v>
      </c>
      <c r="H846" s="31">
        <v>1.25</v>
      </c>
      <c r="I846" s="31">
        <v>1.3</v>
      </c>
      <c r="J846" s="31"/>
      <c r="K846" s="52">
        <f t="shared" si="195"/>
        <v>401896.36499999999</v>
      </c>
      <c r="L846" s="52">
        <f t="shared" si="222"/>
        <v>2411378.19</v>
      </c>
    </row>
    <row r="847" spans="1:12" ht="30" customHeight="1" x14ac:dyDescent="0.2">
      <c r="A847" s="27" t="s">
        <v>3361</v>
      </c>
      <c r="B847" s="27" t="s">
        <v>2552</v>
      </c>
      <c r="C847" s="27"/>
      <c r="D847" s="31">
        <f t="shared" si="221"/>
        <v>28.35</v>
      </c>
      <c r="E847" s="52">
        <f t="shared" si="220"/>
        <v>202722</v>
      </c>
      <c r="F847" s="31"/>
      <c r="G847" s="31">
        <v>1.22</v>
      </c>
      <c r="H847" s="31">
        <v>1.25</v>
      </c>
      <c r="I847" s="31">
        <v>1.3</v>
      </c>
      <c r="J847" s="31"/>
      <c r="K847" s="52">
        <f t="shared" si="195"/>
        <v>401896.36499999999</v>
      </c>
      <c r="L847" s="52">
        <f t="shared" si="222"/>
        <v>2813274.5549999997</v>
      </c>
    </row>
    <row r="848" spans="1:12" ht="30" customHeight="1" x14ac:dyDescent="0.2">
      <c r="A848" s="27" t="s">
        <v>3362</v>
      </c>
      <c r="B848" s="27" t="s">
        <v>3363</v>
      </c>
      <c r="C848" s="27"/>
      <c r="D848" s="31">
        <f>D847+3.266</f>
        <v>31.616</v>
      </c>
      <c r="E848" s="52">
        <f>24034+29374+29374+87896+16022</f>
        <v>186700</v>
      </c>
      <c r="F848" s="31"/>
      <c r="G848" s="31">
        <v>1.22</v>
      </c>
      <c r="H848" s="31">
        <v>1.25</v>
      </c>
      <c r="I848" s="31">
        <v>1.3</v>
      </c>
      <c r="J848" s="31"/>
      <c r="K848" s="52">
        <f t="shared" si="195"/>
        <v>370132.75</v>
      </c>
      <c r="L848" s="52">
        <f t="shared" si="222"/>
        <v>3183407.3049999997</v>
      </c>
    </row>
    <row r="849" spans="1:12" ht="30" customHeight="1" x14ac:dyDescent="0.2">
      <c r="A849" s="27" t="s">
        <v>3364</v>
      </c>
      <c r="B849" s="27" t="s">
        <v>3354</v>
      </c>
      <c r="C849" s="27"/>
      <c r="D849" s="31">
        <f>D848+1.95</f>
        <v>33.566000000000003</v>
      </c>
      <c r="E849" s="52">
        <f>24034+29374+88117</f>
        <v>141525</v>
      </c>
      <c r="F849" s="31"/>
      <c r="G849" s="31">
        <v>1.22</v>
      </c>
      <c r="H849" s="31">
        <v>1.25</v>
      </c>
      <c r="I849" s="31">
        <v>1.3</v>
      </c>
      <c r="J849" s="31"/>
      <c r="K849" s="52">
        <f t="shared" si="195"/>
        <v>280573.3125</v>
      </c>
      <c r="L849" s="52">
        <f t="shared" si="222"/>
        <v>3463980.6174999997</v>
      </c>
    </row>
    <row r="850" spans="1:12" ht="30" customHeight="1" x14ac:dyDescent="0.2">
      <c r="A850" s="27" t="s">
        <v>3365</v>
      </c>
      <c r="B850" s="27" t="s">
        <v>2540</v>
      </c>
      <c r="C850" s="27"/>
      <c r="D850" s="31">
        <v>5.05</v>
      </c>
      <c r="E850" s="52">
        <f t="shared" ref="E850:E855" si="223">24034+29374+29374+29374+87896+16022+16022+16022</f>
        <v>248118</v>
      </c>
      <c r="F850" s="31"/>
      <c r="G850" s="31">
        <v>1.22</v>
      </c>
      <c r="H850" s="31">
        <v>1.25</v>
      </c>
      <c r="I850" s="31">
        <v>1.3</v>
      </c>
      <c r="J850" s="31"/>
      <c r="K850" s="52">
        <f t="shared" si="195"/>
        <v>491893.93500000006</v>
      </c>
      <c r="L850" s="52">
        <f>K850</f>
        <v>491893.93500000006</v>
      </c>
    </row>
    <row r="851" spans="1:12" ht="30" customHeight="1" x14ac:dyDescent="0.2">
      <c r="A851" s="27" t="s">
        <v>3366</v>
      </c>
      <c r="B851" s="27" t="s">
        <v>2542</v>
      </c>
      <c r="C851" s="27"/>
      <c r="D851" s="31">
        <f t="shared" ref="D851:D855" si="224">D850+5.05</f>
        <v>10.1</v>
      </c>
      <c r="E851" s="52">
        <f t="shared" si="223"/>
        <v>248118</v>
      </c>
      <c r="F851" s="31"/>
      <c r="G851" s="31">
        <v>1.22</v>
      </c>
      <c r="H851" s="31">
        <v>1.25</v>
      </c>
      <c r="I851" s="31">
        <v>1.3</v>
      </c>
      <c r="J851" s="31"/>
      <c r="K851" s="52">
        <f t="shared" si="195"/>
        <v>491893.93500000006</v>
      </c>
      <c r="L851" s="52">
        <f t="shared" ref="L851:L856" si="225">K851+L850</f>
        <v>983787.87000000011</v>
      </c>
    </row>
    <row r="852" spans="1:12" ht="30" customHeight="1" x14ac:dyDescent="0.2">
      <c r="A852" s="27" t="s">
        <v>3367</v>
      </c>
      <c r="B852" s="27" t="s">
        <v>2544</v>
      </c>
      <c r="C852" s="27"/>
      <c r="D852" s="31">
        <f t="shared" si="224"/>
        <v>15.149999999999999</v>
      </c>
      <c r="E852" s="52">
        <f t="shared" si="223"/>
        <v>248118</v>
      </c>
      <c r="F852" s="31"/>
      <c r="G852" s="31">
        <v>1.22</v>
      </c>
      <c r="H852" s="31">
        <v>1.25</v>
      </c>
      <c r="I852" s="31">
        <v>1.3</v>
      </c>
      <c r="J852" s="31"/>
      <c r="K852" s="52">
        <f t="shared" si="195"/>
        <v>491893.93500000006</v>
      </c>
      <c r="L852" s="52">
        <f t="shared" si="225"/>
        <v>1475681.8050000002</v>
      </c>
    </row>
    <row r="853" spans="1:12" ht="30" customHeight="1" x14ac:dyDescent="0.2">
      <c r="A853" s="27" t="s">
        <v>3368</v>
      </c>
      <c r="B853" s="27" t="s">
        <v>2546</v>
      </c>
      <c r="C853" s="27"/>
      <c r="D853" s="31">
        <f t="shared" si="224"/>
        <v>20.2</v>
      </c>
      <c r="E853" s="52">
        <f t="shared" si="223"/>
        <v>248118</v>
      </c>
      <c r="F853" s="31"/>
      <c r="G853" s="31">
        <v>1.22</v>
      </c>
      <c r="H853" s="31">
        <v>1.25</v>
      </c>
      <c r="I853" s="31">
        <v>1.3</v>
      </c>
      <c r="J853" s="31"/>
      <c r="K853" s="52">
        <f t="shared" si="195"/>
        <v>491893.93500000006</v>
      </c>
      <c r="L853" s="52">
        <f t="shared" si="225"/>
        <v>1967575.7400000002</v>
      </c>
    </row>
    <row r="854" spans="1:12" ht="30" customHeight="1" x14ac:dyDescent="0.2">
      <c r="A854" s="27" t="s">
        <v>3369</v>
      </c>
      <c r="B854" s="27" t="s">
        <v>2548</v>
      </c>
      <c r="C854" s="27"/>
      <c r="D854" s="31">
        <f t="shared" si="224"/>
        <v>25.25</v>
      </c>
      <c r="E854" s="52">
        <f t="shared" si="223"/>
        <v>248118</v>
      </c>
      <c r="F854" s="31"/>
      <c r="G854" s="31">
        <v>1.22</v>
      </c>
      <c r="H854" s="31">
        <v>1.25</v>
      </c>
      <c r="I854" s="31">
        <v>1.3</v>
      </c>
      <c r="J854" s="31"/>
      <c r="K854" s="52">
        <f t="shared" si="195"/>
        <v>491893.93500000006</v>
      </c>
      <c r="L854" s="52">
        <f t="shared" si="225"/>
        <v>2459469.6750000003</v>
      </c>
    </row>
    <row r="855" spans="1:12" ht="30" customHeight="1" x14ac:dyDescent="0.2">
      <c r="A855" s="27" t="s">
        <v>3370</v>
      </c>
      <c r="B855" s="27" t="s">
        <v>2550</v>
      </c>
      <c r="C855" s="27"/>
      <c r="D855" s="31">
        <f t="shared" si="224"/>
        <v>30.3</v>
      </c>
      <c r="E855" s="52">
        <f t="shared" si="223"/>
        <v>248118</v>
      </c>
      <c r="F855" s="31"/>
      <c r="G855" s="31">
        <v>1.22</v>
      </c>
      <c r="H855" s="31">
        <v>1.25</v>
      </c>
      <c r="I855" s="31">
        <v>1.3</v>
      </c>
      <c r="J855" s="31"/>
      <c r="K855" s="52">
        <f t="shared" si="195"/>
        <v>491893.93500000006</v>
      </c>
      <c r="L855" s="52">
        <f t="shared" si="225"/>
        <v>2951363.6100000003</v>
      </c>
    </row>
    <row r="856" spans="1:12" ht="30" customHeight="1" x14ac:dyDescent="0.2">
      <c r="A856" s="27" t="s">
        <v>3371</v>
      </c>
      <c r="B856" s="27" t="s">
        <v>3372</v>
      </c>
      <c r="C856" s="27"/>
      <c r="D856" s="31">
        <f>D855+2.55</f>
        <v>32.85</v>
      </c>
      <c r="E856" s="52">
        <f>24034+29374+29374+87896</f>
        <v>170678</v>
      </c>
      <c r="F856" s="31"/>
      <c r="G856" s="31">
        <v>1.22</v>
      </c>
      <c r="H856" s="31">
        <v>1.25</v>
      </c>
      <c r="I856" s="31">
        <v>1.3</v>
      </c>
      <c r="J856" s="31"/>
      <c r="K856" s="52">
        <f t="shared" si="195"/>
        <v>338369.13500000001</v>
      </c>
      <c r="L856" s="52">
        <f t="shared" si="225"/>
        <v>3289732.7450000001</v>
      </c>
    </row>
    <row r="857" spans="1:12" ht="30" customHeight="1" x14ac:dyDescent="0.2">
      <c r="A857" s="27" t="s">
        <v>3373</v>
      </c>
      <c r="B857" s="27" t="s">
        <v>2331</v>
      </c>
      <c r="C857" s="27"/>
      <c r="D857" s="31">
        <v>0.25</v>
      </c>
      <c r="E857" s="52">
        <v>85808</v>
      </c>
      <c r="F857" s="31"/>
      <c r="G857" s="31">
        <v>1.22</v>
      </c>
      <c r="H857" s="31">
        <v>1.25</v>
      </c>
      <c r="I857" s="31">
        <v>1.3</v>
      </c>
      <c r="J857" s="31"/>
      <c r="K857" s="52">
        <f t="shared" si="195"/>
        <v>170114.36000000002</v>
      </c>
      <c r="L857" s="52">
        <f>K857</f>
        <v>170114.36000000002</v>
      </c>
    </row>
    <row r="858" spans="1:12" ht="30" customHeight="1" x14ac:dyDescent="0.2">
      <c r="A858" s="27" t="s">
        <v>3374</v>
      </c>
      <c r="B858" s="27" t="s">
        <v>2333</v>
      </c>
      <c r="C858" s="27"/>
      <c r="D858" s="31">
        <f t="shared" ref="D858:D864" si="226">D857+1.767</f>
        <v>2.0169999999999999</v>
      </c>
      <c r="E858" s="52">
        <v>85808</v>
      </c>
      <c r="F858" s="31"/>
      <c r="G858" s="31">
        <v>1.22</v>
      </c>
      <c r="H858" s="31">
        <v>1.25</v>
      </c>
      <c r="I858" s="31">
        <v>1.3</v>
      </c>
      <c r="J858" s="31"/>
      <c r="K858" s="52">
        <f t="shared" si="195"/>
        <v>170114.36000000002</v>
      </c>
      <c r="L858" s="52">
        <f t="shared" ref="L858:L864" si="227">L857+K858</f>
        <v>340228.72000000003</v>
      </c>
    </row>
    <row r="859" spans="1:12" ht="30" customHeight="1" x14ac:dyDescent="0.2">
      <c r="A859" s="27" t="s">
        <v>3375</v>
      </c>
      <c r="B859" s="27" t="s">
        <v>2335</v>
      </c>
      <c r="C859" s="27"/>
      <c r="D859" s="31">
        <f t="shared" si="226"/>
        <v>3.7839999999999998</v>
      </c>
      <c r="E859" s="52">
        <v>85808</v>
      </c>
      <c r="F859" s="31"/>
      <c r="G859" s="31">
        <v>1.22</v>
      </c>
      <c r="H859" s="31">
        <v>1.25</v>
      </c>
      <c r="I859" s="31">
        <v>1.3</v>
      </c>
      <c r="J859" s="31"/>
      <c r="K859" s="52">
        <f t="shared" si="195"/>
        <v>170114.36000000002</v>
      </c>
      <c r="L859" s="52">
        <f t="shared" si="227"/>
        <v>510343.08000000007</v>
      </c>
    </row>
    <row r="860" spans="1:12" ht="30" customHeight="1" x14ac:dyDescent="0.2">
      <c r="A860" s="27" t="s">
        <v>3376</v>
      </c>
      <c r="B860" s="27" t="s">
        <v>2337</v>
      </c>
      <c r="C860" s="27"/>
      <c r="D860" s="31">
        <f t="shared" si="226"/>
        <v>5.5510000000000002</v>
      </c>
      <c r="E860" s="52">
        <v>85808</v>
      </c>
      <c r="F860" s="31"/>
      <c r="G860" s="31">
        <v>1.22</v>
      </c>
      <c r="H860" s="31">
        <v>1.25</v>
      </c>
      <c r="I860" s="31">
        <v>1.3</v>
      </c>
      <c r="J860" s="31"/>
      <c r="K860" s="52">
        <f t="shared" si="195"/>
        <v>170114.36000000002</v>
      </c>
      <c r="L860" s="52">
        <f t="shared" si="227"/>
        <v>680457.44000000006</v>
      </c>
    </row>
    <row r="861" spans="1:12" ht="30" customHeight="1" x14ac:dyDescent="0.2">
      <c r="A861" s="27" t="s">
        <v>3377</v>
      </c>
      <c r="B861" s="27" t="s">
        <v>2339</v>
      </c>
      <c r="C861" s="27"/>
      <c r="D861" s="31">
        <f t="shared" si="226"/>
        <v>7.3179999999999996</v>
      </c>
      <c r="E861" s="52">
        <v>85808</v>
      </c>
      <c r="F861" s="31"/>
      <c r="G861" s="31">
        <v>1.22</v>
      </c>
      <c r="H861" s="31">
        <v>1.25</v>
      </c>
      <c r="I861" s="31">
        <v>1.3</v>
      </c>
      <c r="J861" s="31"/>
      <c r="K861" s="52">
        <f t="shared" si="195"/>
        <v>170114.36000000002</v>
      </c>
      <c r="L861" s="52">
        <f t="shared" si="227"/>
        <v>850571.8</v>
      </c>
    </row>
    <row r="862" spans="1:12" ht="30" customHeight="1" x14ac:dyDescent="0.2">
      <c r="A862" s="27" t="s">
        <v>3378</v>
      </c>
      <c r="B862" s="27" t="s">
        <v>2341</v>
      </c>
      <c r="C862" s="27"/>
      <c r="D862" s="31">
        <f t="shared" si="226"/>
        <v>9.0849999999999991</v>
      </c>
      <c r="E862" s="52">
        <v>85808</v>
      </c>
      <c r="F862" s="31"/>
      <c r="G862" s="31">
        <v>1.22</v>
      </c>
      <c r="H862" s="31">
        <v>1.25</v>
      </c>
      <c r="I862" s="31">
        <v>1.3</v>
      </c>
      <c r="J862" s="31"/>
      <c r="K862" s="52">
        <f t="shared" si="195"/>
        <v>170114.36000000002</v>
      </c>
      <c r="L862" s="52">
        <f t="shared" si="227"/>
        <v>1020686.16</v>
      </c>
    </row>
    <row r="863" spans="1:12" ht="30" customHeight="1" x14ac:dyDescent="0.2">
      <c r="A863" s="27" t="s">
        <v>3379</v>
      </c>
      <c r="B863" s="27" t="s">
        <v>2343</v>
      </c>
      <c r="C863" s="27"/>
      <c r="D863" s="31">
        <f t="shared" si="226"/>
        <v>10.851999999999999</v>
      </c>
      <c r="E863" s="52">
        <v>85808</v>
      </c>
      <c r="F863" s="31"/>
      <c r="G863" s="31">
        <v>1.22</v>
      </c>
      <c r="H863" s="31">
        <v>1.25</v>
      </c>
      <c r="I863" s="31">
        <v>1.3</v>
      </c>
      <c r="J863" s="31"/>
      <c r="K863" s="52">
        <f t="shared" si="195"/>
        <v>170114.36000000002</v>
      </c>
      <c r="L863" s="52">
        <f t="shared" si="227"/>
        <v>1190800.52</v>
      </c>
    </row>
    <row r="864" spans="1:12" ht="30" customHeight="1" x14ac:dyDescent="0.2">
      <c r="A864" s="27" t="s">
        <v>3380</v>
      </c>
      <c r="B864" s="27" t="s">
        <v>2345</v>
      </c>
      <c r="C864" s="27"/>
      <c r="D864" s="31">
        <f t="shared" si="226"/>
        <v>12.618999999999998</v>
      </c>
      <c r="E864" s="52">
        <v>85808</v>
      </c>
      <c r="F864" s="31"/>
      <c r="G864" s="31">
        <v>1.22</v>
      </c>
      <c r="H864" s="31">
        <v>1.25</v>
      </c>
      <c r="I864" s="31">
        <v>1.3</v>
      </c>
      <c r="J864" s="31"/>
      <c r="K864" s="52">
        <f t="shared" si="195"/>
        <v>170114.36000000002</v>
      </c>
      <c r="L864" s="52">
        <f t="shared" si="227"/>
        <v>1360914.8800000001</v>
      </c>
    </row>
    <row r="865" spans="1:12" ht="30" customHeight="1" x14ac:dyDescent="0.2">
      <c r="A865" s="27" t="s">
        <v>3381</v>
      </c>
      <c r="B865" s="27" t="s">
        <v>2795</v>
      </c>
      <c r="C865" s="27"/>
      <c r="D865" s="31">
        <v>1.716</v>
      </c>
      <c r="E865" s="52">
        <v>36825</v>
      </c>
      <c r="F865" s="31"/>
      <c r="G865" s="31"/>
      <c r="H865" s="31"/>
      <c r="I865" s="31">
        <v>1.3</v>
      </c>
      <c r="J865" s="31"/>
      <c r="K865" s="52">
        <f t="shared" si="195"/>
        <v>47872.5</v>
      </c>
      <c r="L865" s="52">
        <f>K865</f>
        <v>47872.5</v>
      </c>
    </row>
    <row r="866" spans="1:12" ht="30" customHeight="1" x14ac:dyDescent="0.2">
      <c r="A866" s="27" t="s">
        <v>3382</v>
      </c>
      <c r="B866" s="27" t="s">
        <v>3383</v>
      </c>
      <c r="C866" s="27"/>
      <c r="D866" s="31">
        <f>D865+1.683*70</f>
        <v>119.526</v>
      </c>
      <c r="E866" s="52">
        <f>36825*1.35*66</f>
        <v>3281107.5</v>
      </c>
      <c r="F866" s="31"/>
      <c r="G866" s="31"/>
      <c r="H866" s="31"/>
      <c r="I866" s="31">
        <v>1.3</v>
      </c>
      <c r="J866" s="31"/>
      <c r="K866" s="52">
        <f t="shared" si="195"/>
        <v>4265439.75</v>
      </c>
      <c r="L866" s="52">
        <f>K866+L865</f>
        <v>4313312.25</v>
      </c>
    </row>
    <row r="867" spans="1:12" ht="30" customHeight="1" x14ac:dyDescent="0.2">
      <c r="A867" s="27" t="s">
        <v>3384</v>
      </c>
      <c r="B867" s="27" t="s">
        <v>2540</v>
      </c>
      <c r="C867" s="27"/>
      <c r="D867" s="31">
        <f>5.183</f>
        <v>5.1829999999999998</v>
      </c>
      <c r="E867" s="52">
        <f t="shared" ref="E867:E873" si="228">68704+5*21996</f>
        <v>178684</v>
      </c>
      <c r="F867" s="31">
        <v>1.4175</v>
      </c>
      <c r="G867" s="31">
        <v>1.22</v>
      </c>
      <c r="H867" s="31">
        <v>1.25</v>
      </c>
      <c r="I867" s="31">
        <v>1.3</v>
      </c>
      <c r="J867" s="31">
        <v>1.0777000000000001</v>
      </c>
      <c r="K867" s="52">
        <f t="shared" si="195"/>
        <v>541152.6785089426</v>
      </c>
      <c r="L867" s="52">
        <f>K867</f>
        <v>541152.6785089426</v>
      </c>
    </row>
    <row r="868" spans="1:12" ht="30" customHeight="1" x14ac:dyDescent="0.2">
      <c r="A868" s="27" t="s">
        <v>3385</v>
      </c>
      <c r="B868" s="27" t="s">
        <v>2542</v>
      </c>
      <c r="C868" s="27"/>
      <c r="D868" s="31">
        <f t="shared" ref="D868:D872" si="229">D867+5.183</f>
        <v>10.366</v>
      </c>
      <c r="E868" s="52">
        <f t="shared" si="228"/>
        <v>178684</v>
      </c>
      <c r="F868" s="31">
        <v>1.4175</v>
      </c>
      <c r="G868" s="31">
        <v>1.22</v>
      </c>
      <c r="H868" s="31">
        <v>1.25</v>
      </c>
      <c r="I868" s="31">
        <v>1.3</v>
      </c>
      <c r="J868" s="31">
        <v>1.0777000000000001</v>
      </c>
      <c r="K868" s="52">
        <f t="shared" si="195"/>
        <v>541152.6785089426</v>
      </c>
      <c r="L868" s="52">
        <f t="shared" ref="L868:L873" si="230">K868+L867</f>
        <v>1082305.3570178852</v>
      </c>
    </row>
    <row r="869" spans="1:12" ht="30" customHeight="1" x14ac:dyDescent="0.2">
      <c r="A869" s="27" t="s">
        <v>3386</v>
      </c>
      <c r="B869" s="27" t="s">
        <v>2544</v>
      </c>
      <c r="C869" s="27"/>
      <c r="D869" s="31">
        <f t="shared" si="229"/>
        <v>15.548999999999999</v>
      </c>
      <c r="E869" s="52">
        <f t="shared" si="228"/>
        <v>178684</v>
      </c>
      <c r="F869" s="31">
        <v>1.4175</v>
      </c>
      <c r="G869" s="31">
        <v>1.22</v>
      </c>
      <c r="H869" s="31">
        <v>1.25</v>
      </c>
      <c r="I869" s="31">
        <v>1.3</v>
      </c>
      <c r="J869" s="31">
        <v>1.0777000000000001</v>
      </c>
      <c r="K869" s="52">
        <f t="shared" si="195"/>
        <v>541152.6785089426</v>
      </c>
      <c r="L869" s="52">
        <f t="shared" si="230"/>
        <v>1623458.0355268279</v>
      </c>
    </row>
    <row r="870" spans="1:12" ht="30" customHeight="1" x14ac:dyDescent="0.2">
      <c r="A870" s="27" t="s">
        <v>3387</v>
      </c>
      <c r="B870" s="27" t="s">
        <v>2546</v>
      </c>
      <c r="C870" s="27"/>
      <c r="D870" s="31">
        <f t="shared" si="229"/>
        <v>20.731999999999999</v>
      </c>
      <c r="E870" s="52">
        <f t="shared" si="228"/>
        <v>178684</v>
      </c>
      <c r="F870" s="31">
        <v>1.4175</v>
      </c>
      <c r="G870" s="31">
        <v>1.22</v>
      </c>
      <c r="H870" s="31">
        <v>1.25</v>
      </c>
      <c r="I870" s="31">
        <v>1.3</v>
      </c>
      <c r="J870" s="31">
        <v>1.0777000000000001</v>
      </c>
      <c r="K870" s="52">
        <f t="shared" si="195"/>
        <v>541152.6785089426</v>
      </c>
      <c r="L870" s="52">
        <f t="shared" si="230"/>
        <v>2164610.7140357704</v>
      </c>
    </row>
    <row r="871" spans="1:12" ht="30" customHeight="1" x14ac:dyDescent="0.2">
      <c r="A871" s="27" t="s">
        <v>3388</v>
      </c>
      <c r="B871" s="27" t="s">
        <v>2548</v>
      </c>
      <c r="C871" s="27"/>
      <c r="D871" s="31">
        <f t="shared" si="229"/>
        <v>25.914999999999999</v>
      </c>
      <c r="E871" s="52">
        <f t="shared" si="228"/>
        <v>178684</v>
      </c>
      <c r="F871" s="31">
        <v>1.4175</v>
      </c>
      <c r="G871" s="31">
        <v>1.22</v>
      </c>
      <c r="H871" s="31">
        <v>1.25</v>
      </c>
      <c r="I871" s="31">
        <v>1.3</v>
      </c>
      <c r="J871" s="31">
        <v>1.0777000000000001</v>
      </c>
      <c r="K871" s="52">
        <f t="shared" si="195"/>
        <v>541152.6785089426</v>
      </c>
      <c r="L871" s="52">
        <f t="shared" si="230"/>
        <v>2705763.3925447129</v>
      </c>
    </row>
    <row r="872" spans="1:12" ht="30" customHeight="1" x14ac:dyDescent="0.2">
      <c r="A872" s="27" t="s">
        <v>3389</v>
      </c>
      <c r="B872" s="27" t="s">
        <v>2550</v>
      </c>
      <c r="C872" s="27"/>
      <c r="D872" s="31">
        <f t="shared" si="229"/>
        <v>31.097999999999999</v>
      </c>
      <c r="E872" s="52">
        <f t="shared" si="228"/>
        <v>178684</v>
      </c>
      <c r="F872" s="31">
        <v>1.4175</v>
      </c>
      <c r="G872" s="31">
        <v>1.22</v>
      </c>
      <c r="H872" s="31">
        <v>1.25</v>
      </c>
      <c r="I872" s="31">
        <v>1.3</v>
      </c>
      <c r="J872" s="31">
        <v>1.0777000000000001</v>
      </c>
      <c r="K872" s="52">
        <f t="shared" si="195"/>
        <v>541152.6785089426</v>
      </c>
      <c r="L872" s="52">
        <f t="shared" si="230"/>
        <v>3246916.0710536554</v>
      </c>
    </row>
    <row r="873" spans="1:12" ht="30" customHeight="1" x14ac:dyDescent="0.2">
      <c r="A873" s="27" t="s">
        <v>3390</v>
      </c>
      <c r="B873" s="27" t="s">
        <v>2554</v>
      </c>
      <c r="C873" s="27"/>
      <c r="D873" s="31">
        <f>D872+0.8</f>
        <v>31.898</v>
      </c>
      <c r="E873" s="52">
        <f t="shared" si="228"/>
        <v>178684</v>
      </c>
      <c r="F873" s="31">
        <v>1.4175</v>
      </c>
      <c r="G873" s="31">
        <v>1.22</v>
      </c>
      <c r="H873" s="31">
        <v>1.25</v>
      </c>
      <c r="I873" s="31">
        <v>1.3</v>
      </c>
      <c r="J873" s="31">
        <v>1.0777000000000001</v>
      </c>
      <c r="K873" s="52">
        <f t="shared" si="195"/>
        <v>541152.6785089426</v>
      </c>
      <c r="L873" s="52">
        <f t="shared" si="230"/>
        <v>3788068.7495625978</v>
      </c>
    </row>
    <row r="874" spans="1:12" ht="30" customHeight="1" x14ac:dyDescent="0.2">
      <c r="A874" s="27" t="s">
        <v>3391</v>
      </c>
      <c r="B874" s="27" t="s">
        <v>2540</v>
      </c>
      <c r="C874" s="27"/>
      <c r="D874" s="31">
        <v>3.1</v>
      </c>
      <c r="E874" s="52">
        <v>112696</v>
      </c>
      <c r="F874" s="31">
        <v>1.4175</v>
      </c>
      <c r="G874" s="31">
        <v>1.22</v>
      </c>
      <c r="H874" s="31">
        <v>1.25</v>
      </c>
      <c r="I874" s="31">
        <v>1.3</v>
      </c>
      <c r="J874" s="31">
        <v>1.0777000000000001</v>
      </c>
      <c r="K874" s="52">
        <f t="shared" si="195"/>
        <v>341304.99796984502</v>
      </c>
      <c r="L874" s="52">
        <f>K874</f>
        <v>341304.99796984502</v>
      </c>
    </row>
    <row r="875" spans="1:12" ht="30" customHeight="1" x14ac:dyDescent="0.2">
      <c r="A875" s="27" t="s">
        <v>3392</v>
      </c>
      <c r="B875" s="27" t="s">
        <v>2542</v>
      </c>
      <c r="C875" s="27"/>
      <c r="D875" s="31">
        <f t="shared" ref="D875:D884" si="231">D874+3.266</f>
        <v>6.3659999999999997</v>
      </c>
      <c r="E875" s="52">
        <v>112696</v>
      </c>
      <c r="F875" s="31">
        <v>1.4175</v>
      </c>
      <c r="G875" s="31">
        <v>1.22</v>
      </c>
      <c r="H875" s="31">
        <v>1.25</v>
      </c>
      <c r="I875" s="31">
        <v>1.3</v>
      </c>
      <c r="J875" s="31">
        <v>1.0777000000000001</v>
      </c>
      <c r="K875" s="52">
        <f t="shared" si="195"/>
        <v>341304.99796984502</v>
      </c>
      <c r="L875" s="52">
        <f t="shared" ref="L875:L885" si="232">K875+L874</f>
        <v>682609.99593969004</v>
      </c>
    </row>
    <row r="876" spans="1:12" ht="30" customHeight="1" x14ac:dyDescent="0.2">
      <c r="A876" s="27" t="s">
        <v>3393</v>
      </c>
      <c r="B876" s="27" t="s">
        <v>2544</v>
      </c>
      <c r="C876" s="27"/>
      <c r="D876" s="31">
        <f t="shared" si="231"/>
        <v>9.6319999999999997</v>
      </c>
      <c r="E876" s="52">
        <v>112696</v>
      </c>
      <c r="F876" s="31">
        <v>1.4175</v>
      </c>
      <c r="G876" s="31">
        <v>1.22</v>
      </c>
      <c r="H876" s="31">
        <v>1.25</v>
      </c>
      <c r="I876" s="31">
        <v>1.3</v>
      </c>
      <c r="J876" s="31">
        <v>1.0777000000000001</v>
      </c>
      <c r="K876" s="52">
        <f t="shared" si="195"/>
        <v>341304.99796984502</v>
      </c>
      <c r="L876" s="52">
        <f t="shared" si="232"/>
        <v>1023914.993909535</v>
      </c>
    </row>
    <row r="877" spans="1:12" ht="30" customHeight="1" x14ac:dyDescent="0.2">
      <c r="A877" s="27" t="s">
        <v>3394</v>
      </c>
      <c r="B877" s="27" t="s">
        <v>2546</v>
      </c>
      <c r="C877" s="27"/>
      <c r="D877" s="31">
        <f t="shared" si="231"/>
        <v>12.898</v>
      </c>
      <c r="E877" s="52">
        <v>112696</v>
      </c>
      <c r="F877" s="31">
        <v>1.4175</v>
      </c>
      <c r="G877" s="31">
        <v>1.22</v>
      </c>
      <c r="H877" s="31">
        <v>1.25</v>
      </c>
      <c r="I877" s="31">
        <v>1.3</v>
      </c>
      <c r="J877" s="31">
        <v>1.0777000000000001</v>
      </c>
      <c r="K877" s="52">
        <f t="shared" si="195"/>
        <v>341304.99796984502</v>
      </c>
      <c r="L877" s="52">
        <f t="shared" si="232"/>
        <v>1365219.9918793801</v>
      </c>
    </row>
    <row r="878" spans="1:12" ht="30" customHeight="1" x14ac:dyDescent="0.2">
      <c r="A878" s="27" t="s">
        <v>3395</v>
      </c>
      <c r="B878" s="27" t="s">
        <v>2548</v>
      </c>
      <c r="C878" s="27"/>
      <c r="D878" s="31">
        <f t="shared" si="231"/>
        <v>16.164000000000001</v>
      </c>
      <c r="E878" s="52">
        <v>112696</v>
      </c>
      <c r="F878" s="31">
        <v>1.4175</v>
      </c>
      <c r="G878" s="31">
        <v>1.22</v>
      </c>
      <c r="H878" s="31">
        <v>1.25</v>
      </c>
      <c r="I878" s="31">
        <v>1.3</v>
      </c>
      <c r="J878" s="31">
        <v>1.0777000000000001</v>
      </c>
      <c r="K878" s="52">
        <f t="shared" si="195"/>
        <v>341304.99796984502</v>
      </c>
      <c r="L878" s="52">
        <f t="shared" si="232"/>
        <v>1706524.9898492252</v>
      </c>
    </row>
    <row r="879" spans="1:12" ht="30" customHeight="1" x14ac:dyDescent="0.2">
      <c r="A879" s="27" t="s">
        <v>3396</v>
      </c>
      <c r="B879" s="27" t="s">
        <v>2550</v>
      </c>
      <c r="C879" s="27"/>
      <c r="D879" s="31">
        <f t="shared" si="231"/>
        <v>19.43</v>
      </c>
      <c r="E879" s="52">
        <v>112696</v>
      </c>
      <c r="F879" s="31">
        <v>1.4175</v>
      </c>
      <c r="G879" s="31">
        <v>1.22</v>
      </c>
      <c r="H879" s="31">
        <v>1.25</v>
      </c>
      <c r="I879" s="31">
        <v>1.3</v>
      </c>
      <c r="J879" s="31">
        <v>1.0777000000000001</v>
      </c>
      <c r="K879" s="52">
        <f t="shared" si="195"/>
        <v>341304.99796984502</v>
      </c>
      <c r="L879" s="52">
        <f t="shared" si="232"/>
        <v>2047829.9878190702</v>
      </c>
    </row>
    <row r="880" spans="1:12" ht="30" customHeight="1" x14ac:dyDescent="0.2">
      <c r="A880" s="27" t="s">
        <v>3397</v>
      </c>
      <c r="B880" s="27" t="s">
        <v>2552</v>
      </c>
      <c r="C880" s="27"/>
      <c r="D880" s="31">
        <f t="shared" si="231"/>
        <v>22.695999999999998</v>
      </c>
      <c r="E880" s="52">
        <v>112696</v>
      </c>
      <c r="F880" s="31">
        <v>1.4175</v>
      </c>
      <c r="G880" s="31">
        <v>1.22</v>
      </c>
      <c r="H880" s="31">
        <v>1.25</v>
      </c>
      <c r="I880" s="31">
        <v>1.3</v>
      </c>
      <c r="J880" s="31">
        <v>1.0777000000000001</v>
      </c>
      <c r="K880" s="52">
        <f t="shared" si="195"/>
        <v>341304.99796984502</v>
      </c>
      <c r="L880" s="52">
        <f t="shared" si="232"/>
        <v>2389134.9857889153</v>
      </c>
    </row>
    <row r="881" spans="1:12" ht="30" customHeight="1" x14ac:dyDescent="0.2">
      <c r="A881" s="27" t="s">
        <v>3398</v>
      </c>
      <c r="B881" s="27" t="s">
        <v>2563</v>
      </c>
      <c r="C881" s="27"/>
      <c r="D881" s="31">
        <f t="shared" si="231"/>
        <v>25.961999999999996</v>
      </c>
      <c r="E881" s="52">
        <v>112696</v>
      </c>
      <c r="F881" s="31">
        <v>1.4175</v>
      </c>
      <c r="G881" s="31">
        <v>1.22</v>
      </c>
      <c r="H881" s="31">
        <v>1.25</v>
      </c>
      <c r="I881" s="31">
        <v>1.3</v>
      </c>
      <c r="J881" s="31">
        <v>1.0777000000000001</v>
      </c>
      <c r="K881" s="52">
        <f t="shared" si="195"/>
        <v>341304.99796984502</v>
      </c>
      <c r="L881" s="52">
        <f t="shared" si="232"/>
        <v>2730439.9837587602</v>
      </c>
    </row>
    <row r="882" spans="1:12" ht="30" customHeight="1" x14ac:dyDescent="0.2">
      <c r="A882" s="27" t="s">
        <v>3399</v>
      </c>
      <c r="B882" s="27" t="s">
        <v>2565</v>
      </c>
      <c r="C882" s="27"/>
      <c r="D882" s="31">
        <f t="shared" si="231"/>
        <v>29.227999999999994</v>
      </c>
      <c r="E882" s="52">
        <v>112696</v>
      </c>
      <c r="F882" s="31">
        <v>1.4175</v>
      </c>
      <c r="G882" s="31">
        <v>1.22</v>
      </c>
      <c r="H882" s="31">
        <v>1.25</v>
      </c>
      <c r="I882" s="31">
        <v>1.3</v>
      </c>
      <c r="J882" s="31">
        <v>1.0777000000000001</v>
      </c>
      <c r="K882" s="52">
        <f t="shared" si="195"/>
        <v>341304.99796984502</v>
      </c>
      <c r="L882" s="52">
        <f t="shared" si="232"/>
        <v>3071744.981728605</v>
      </c>
    </row>
    <row r="883" spans="1:12" ht="30" customHeight="1" x14ac:dyDescent="0.2">
      <c r="A883" s="27" t="s">
        <v>3400</v>
      </c>
      <c r="B883" s="27" t="s">
        <v>2567</v>
      </c>
      <c r="C883" s="27"/>
      <c r="D883" s="31">
        <f t="shared" si="231"/>
        <v>32.493999999999993</v>
      </c>
      <c r="E883" s="52">
        <v>112696</v>
      </c>
      <c r="F883" s="31">
        <v>1.4175</v>
      </c>
      <c r="G883" s="31">
        <v>1.22</v>
      </c>
      <c r="H883" s="31">
        <v>1.25</v>
      </c>
      <c r="I883" s="31">
        <v>1.3</v>
      </c>
      <c r="J883" s="31">
        <v>1.0777000000000001</v>
      </c>
      <c r="K883" s="52">
        <f t="shared" si="195"/>
        <v>341304.99796984502</v>
      </c>
      <c r="L883" s="52">
        <f t="shared" si="232"/>
        <v>3413049.9796984498</v>
      </c>
    </row>
    <row r="884" spans="1:12" ht="30" customHeight="1" x14ac:dyDescent="0.2">
      <c r="A884" s="27" t="s">
        <v>3401</v>
      </c>
      <c r="B884" s="27" t="s">
        <v>2569</v>
      </c>
      <c r="C884" s="27"/>
      <c r="D884" s="31">
        <f t="shared" si="231"/>
        <v>35.759999999999991</v>
      </c>
      <c r="E884" s="52">
        <v>112696</v>
      </c>
      <c r="F884" s="31">
        <v>1.4175</v>
      </c>
      <c r="G884" s="31">
        <v>1.22</v>
      </c>
      <c r="H884" s="31">
        <v>1.25</v>
      </c>
      <c r="I884" s="31">
        <v>1.3</v>
      </c>
      <c r="J884" s="31">
        <v>1.0777000000000001</v>
      </c>
      <c r="K884" s="52">
        <f t="shared" si="195"/>
        <v>341304.99796984502</v>
      </c>
      <c r="L884" s="52">
        <f t="shared" si="232"/>
        <v>3754354.9776682947</v>
      </c>
    </row>
    <row r="885" spans="1:12" ht="30" customHeight="1" x14ac:dyDescent="0.2">
      <c r="A885" s="27" t="s">
        <v>3402</v>
      </c>
      <c r="B885" s="27" t="s">
        <v>2554</v>
      </c>
      <c r="C885" s="27"/>
      <c r="D885" s="31">
        <f>D884+0.966</f>
        <v>36.725999999999992</v>
      </c>
      <c r="E885" s="52">
        <v>68704</v>
      </c>
      <c r="F885" s="31">
        <v>1.4175</v>
      </c>
      <c r="G885" s="31">
        <v>1.22</v>
      </c>
      <c r="H885" s="31">
        <v>1.25</v>
      </c>
      <c r="I885" s="31">
        <v>1.3</v>
      </c>
      <c r="J885" s="31">
        <v>1.0777000000000001</v>
      </c>
      <c r="K885" s="52">
        <f t="shared" si="195"/>
        <v>208073.21094378</v>
      </c>
      <c r="L885" s="52">
        <f t="shared" si="232"/>
        <v>3962428.1886120746</v>
      </c>
    </row>
    <row r="886" spans="1:12" ht="30" customHeight="1" x14ac:dyDescent="0.2">
      <c r="A886" s="27" t="s">
        <v>3403</v>
      </c>
      <c r="B886" s="27" t="s">
        <v>3404</v>
      </c>
      <c r="C886" s="27"/>
      <c r="D886" s="31">
        <v>0.316</v>
      </c>
      <c r="E886" s="52">
        <v>58215</v>
      </c>
      <c r="F886" s="31"/>
      <c r="G886" s="31"/>
      <c r="H886" s="31"/>
      <c r="I886" s="31">
        <v>1.3</v>
      </c>
      <c r="J886" s="31"/>
      <c r="K886" s="52">
        <f t="shared" si="195"/>
        <v>75679.5</v>
      </c>
      <c r="L886" s="52">
        <f>K886</f>
        <v>75679.5</v>
      </c>
    </row>
    <row r="887" spans="1:12" ht="30" customHeight="1" x14ac:dyDescent="0.2">
      <c r="A887" s="27" t="s">
        <v>3405</v>
      </c>
      <c r="B887" s="27" t="s">
        <v>3406</v>
      </c>
      <c r="C887" s="27"/>
      <c r="D887" s="31">
        <f>D886+0.9*132</f>
        <v>119.116</v>
      </c>
      <c r="E887" s="52">
        <f>58215*132</f>
        <v>7684380</v>
      </c>
      <c r="F887" s="31"/>
      <c r="G887" s="31"/>
      <c r="H887" s="31"/>
      <c r="I887" s="31">
        <v>1.3</v>
      </c>
      <c r="J887" s="31"/>
      <c r="K887" s="52">
        <f t="shared" si="195"/>
        <v>9989694</v>
      </c>
      <c r="L887" s="52">
        <f>K887+L886</f>
        <v>10065373.5</v>
      </c>
    </row>
    <row r="888" spans="1:12" ht="30" customHeight="1" x14ac:dyDescent="0.2">
      <c r="A888" s="27" t="s">
        <v>3407</v>
      </c>
      <c r="B888" s="27" t="s">
        <v>2799</v>
      </c>
      <c r="C888" s="27"/>
      <c r="D888" s="31">
        <v>1.1000000000000001</v>
      </c>
      <c r="E888" s="52">
        <v>276871</v>
      </c>
      <c r="F888" s="31"/>
      <c r="G888" s="31"/>
      <c r="H888" s="31"/>
      <c r="I888" s="31">
        <v>1.3</v>
      </c>
      <c r="J888" s="31"/>
      <c r="K888" s="52">
        <f t="shared" si="195"/>
        <v>359932.3</v>
      </c>
      <c r="L888" s="52">
        <f>K888</f>
        <v>359932.3</v>
      </c>
    </row>
    <row r="889" spans="1:12" ht="30" customHeight="1" x14ac:dyDescent="0.2">
      <c r="A889" s="27" t="s">
        <v>3408</v>
      </c>
      <c r="B889" s="27" t="s">
        <v>3409</v>
      </c>
      <c r="C889" s="27"/>
      <c r="D889" s="31">
        <v>1.9159999999999999</v>
      </c>
      <c r="E889" s="52">
        <f>457196-E888</f>
        <v>180325</v>
      </c>
      <c r="F889" s="31"/>
      <c r="G889" s="31"/>
      <c r="H889" s="31"/>
      <c r="I889" s="31">
        <v>1.3</v>
      </c>
      <c r="J889" s="31"/>
      <c r="K889" s="52">
        <f t="shared" si="195"/>
        <v>234422.5</v>
      </c>
      <c r="L889" s="52">
        <f>K889+L888</f>
        <v>594354.80000000005</v>
      </c>
    </row>
    <row r="890" spans="1:12" ht="30" customHeight="1" x14ac:dyDescent="0.2">
      <c r="A890" s="27" t="s">
        <v>3410</v>
      </c>
      <c r="B890" s="27" t="s">
        <v>2235</v>
      </c>
      <c r="C890" s="27"/>
      <c r="D890" s="31">
        <v>0</v>
      </c>
      <c r="E890" s="52">
        <v>0</v>
      </c>
      <c r="F890" s="31"/>
      <c r="G890" s="31"/>
      <c r="H890" s="31"/>
      <c r="I890" s="31"/>
      <c r="J890" s="31"/>
      <c r="K890" s="52">
        <f t="shared" si="195"/>
        <v>0</v>
      </c>
      <c r="L890" s="52">
        <f>K890</f>
        <v>0</v>
      </c>
    </row>
    <row r="891" spans="1:12" ht="30" customHeight="1" x14ac:dyDescent="0.2">
      <c r="A891" s="27" t="s">
        <v>3411</v>
      </c>
      <c r="B891" s="27" t="s">
        <v>3412</v>
      </c>
      <c r="C891" s="27"/>
      <c r="D891" s="31">
        <v>35.25</v>
      </c>
      <c r="E891" s="52">
        <v>1687399</v>
      </c>
      <c r="F891" s="31"/>
      <c r="G891" s="31">
        <v>1.22</v>
      </c>
      <c r="H891" s="31">
        <v>1.25</v>
      </c>
      <c r="I891" s="31">
        <v>1.3</v>
      </c>
      <c r="J891" s="31"/>
      <c r="K891" s="52">
        <f t="shared" si="195"/>
        <v>3345268.5175000001</v>
      </c>
      <c r="L891" s="52">
        <f>K891+L890</f>
        <v>3345268.5175000001</v>
      </c>
    </row>
    <row r="892" spans="1:12" ht="30" customHeight="1" x14ac:dyDescent="0.2">
      <c r="A892" s="27" t="s">
        <v>3413</v>
      </c>
      <c r="B892" s="27" t="s">
        <v>2235</v>
      </c>
      <c r="C892" s="27"/>
      <c r="D892" s="31">
        <v>0</v>
      </c>
      <c r="E892" s="52">
        <v>0</v>
      </c>
      <c r="F892" s="31"/>
      <c r="G892" s="31"/>
      <c r="H892" s="31"/>
      <c r="I892" s="31"/>
      <c r="J892" s="31"/>
      <c r="K892" s="52">
        <f t="shared" si="195"/>
        <v>0</v>
      </c>
      <c r="L892" s="52">
        <f t="shared" ref="L892:L894" si="233">K892</f>
        <v>0</v>
      </c>
    </row>
    <row r="893" spans="1:12" ht="30" customHeight="1" x14ac:dyDescent="0.2">
      <c r="A893" s="27" t="s">
        <v>3414</v>
      </c>
      <c r="B893" s="27" t="s">
        <v>3415</v>
      </c>
      <c r="C893" s="27"/>
      <c r="D893" s="31">
        <v>42.2</v>
      </c>
      <c r="E893" s="52">
        <f>601*1074</f>
        <v>645474</v>
      </c>
      <c r="F893" s="31">
        <v>1.1499999999999999</v>
      </c>
      <c r="G893" s="31">
        <v>1.22</v>
      </c>
      <c r="H893" s="31">
        <v>1.25</v>
      </c>
      <c r="I893" s="31">
        <v>1.3</v>
      </c>
      <c r="J893" s="31">
        <v>1.0777000000000001</v>
      </c>
      <c r="K893" s="52">
        <f t="shared" si="195"/>
        <v>1585943.3585277754</v>
      </c>
      <c r="L893" s="52">
        <f t="shared" si="233"/>
        <v>1585943.3585277754</v>
      </c>
    </row>
    <row r="894" spans="1:12" ht="30" customHeight="1" x14ac:dyDescent="0.2">
      <c r="A894" s="27" t="s">
        <v>3416</v>
      </c>
      <c r="B894" s="27" t="s">
        <v>2795</v>
      </c>
      <c r="C894" s="27"/>
      <c r="D894" s="31">
        <v>1.6</v>
      </c>
      <c r="E894" s="52">
        <v>47458</v>
      </c>
      <c r="F894" s="31"/>
      <c r="G894" s="31"/>
      <c r="H894" s="31"/>
      <c r="I894" s="31">
        <v>1.3</v>
      </c>
      <c r="J894" s="31"/>
      <c r="K894" s="52">
        <f t="shared" si="195"/>
        <v>61695.4</v>
      </c>
      <c r="L894" s="52">
        <f t="shared" si="233"/>
        <v>61695.4</v>
      </c>
    </row>
    <row r="895" spans="1:12" ht="30" customHeight="1" x14ac:dyDescent="0.2">
      <c r="A895" s="27" t="s">
        <v>3417</v>
      </c>
      <c r="B895" s="27" t="s">
        <v>3418</v>
      </c>
      <c r="C895" s="27"/>
      <c r="D895" s="31">
        <f>D894+0.9*131</f>
        <v>119.5</v>
      </c>
      <c r="E895" s="52">
        <f>47458*131</f>
        <v>6216998</v>
      </c>
      <c r="F895" s="31"/>
      <c r="G895" s="31"/>
      <c r="H895" s="31"/>
      <c r="I895" s="31">
        <v>1.3</v>
      </c>
      <c r="J895" s="31"/>
      <c r="K895" s="52">
        <f t="shared" si="195"/>
        <v>8082097.4000000004</v>
      </c>
      <c r="L895" s="52">
        <f>K895+L894</f>
        <v>8143792.8000000007</v>
      </c>
    </row>
    <row r="896" spans="1:12" ht="30" customHeight="1" x14ac:dyDescent="0.2">
      <c r="A896" s="27" t="s">
        <v>3419</v>
      </c>
      <c r="B896" s="27" t="s">
        <v>2331</v>
      </c>
      <c r="C896" s="27"/>
      <c r="D896" s="31">
        <v>0.83299999999999996</v>
      </c>
      <c r="E896" s="52">
        <v>112868</v>
      </c>
      <c r="F896" s="31"/>
      <c r="G896" s="31">
        <v>1.22</v>
      </c>
      <c r="H896" s="31">
        <v>1.25</v>
      </c>
      <c r="I896" s="31">
        <v>1.3</v>
      </c>
      <c r="J896" s="31"/>
      <c r="K896" s="52">
        <f t="shared" si="195"/>
        <v>223760.81</v>
      </c>
      <c r="L896" s="52">
        <f>K896</f>
        <v>223760.81</v>
      </c>
    </row>
    <row r="897" spans="1:12" ht="30" customHeight="1" x14ac:dyDescent="0.2">
      <c r="A897" s="27" t="s">
        <v>3420</v>
      </c>
      <c r="B897" s="27" t="s">
        <v>2333</v>
      </c>
      <c r="C897" s="27"/>
      <c r="D897" s="31">
        <f t="shared" ref="D897:D905" si="234">D896+1.784</f>
        <v>2.617</v>
      </c>
      <c r="E897" s="52">
        <v>112868</v>
      </c>
      <c r="F897" s="31"/>
      <c r="G897" s="31">
        <v>1.22</v>
      </c>
      <c r="H897" s="31">
        <v>1.25</v>
      </c>
      <c r="I897" s="31">
        <v>1.3</v>
      </c>
      <c r="J897" s="31"/>
      <c r="K897" s="52">
        <f t="shared" si="195"/>
        <v>223760.81</v>
      </c>
      <c r="L897" s="52">
        <f t="shared" ref="L897:L905" si="235">K897+L896</f>
        <v>447521.62</v>
      </c>
    </row>
    <row r="898" spans="1:12" ht="30" customHeight="1" x14ac:dyDescent="0.2">
      <c r="A898" s="27" t="s">
        <v>3421</v>
      </c>
      <c r="B898" s="27" t="s">
        <v>2335</v>
      </c>
      <c r="C898" s="27"/>
      <c r="D898" s="31">
        <f t="shared" si="234"/>
        <v>4.4009999999999998</v>
      </c>
      <c r="E898" s="52">
        <v>112868</v>
      </c>
      <c r="F898" s="31"/>
      <c r="G898" s="31">
        <v>1.22</v>
      </c>
      <c r="H898" s="31">
        <v>1.25</v>
      </c>
      <c r="I898" s="31">
        <v>1.3</v>
      </c>
      <c r="J898" s="31"/>
      <c r="K898" s="52">
        <f t="shared" si="195"/>
        <v>223760.81</v>
      </c>
      <c r="L898" s="52">
        <f t="shared" si="235"/>
        <v>671282.42999999993</v>
      </c>
    </row>
    <row r="899" spans="1:12" ht="30" customHeight="1" x14ac:dyDescent="0.2">
      <c r="A899" s="27" t="s">
        <v>3422</v>
      </c>
      <c r="B899" s="27" t="s">
        <v>2337</v>
      </c>
      <c r="C899" s="27"/>
      <c r="D899" s="31">
        <f t="shared" si="234"/>
        <v>6.1849999999999996</v>
      </c>
      <c r="E899" s="52">
        <v>112868</v>
      </c>
      <c r="F899" s="31"/>
      <c r="G899" s="31">
        <v>1.22</v>
      </c>
      <c r="H899" s="31">
        <v>1.25</v>
      </c>
      <c r="I899" s="31">
        <v>1.3</v>
      </c>
      <c r="J899" s="31"/>
      <c r="K899" s="52">
        <f t="shared" si="195"/>
        <v>223760.81</v>
      </c>
      <c r="L899" s="52">
        <f t="shared" si="235"/>
        <v>895043.24</v>
      </c>
    </row>
    <row r="900" spans="1:12" ht="30" customHeight="1" x14ac:dyDescent="0.2">
      <c r="A900" s="27" t="s">
        <v>3423</v>
      </c>
      <c r="B900" s="27" t="s">
        <v>2339</v>
      </c>
      <c r="C900" s="27"/>
      <c r="D900" s="31">
        <f t="shared" si="234"/>
        <v>7.9689999999999994</v>
      </c>
      <c r="E900" s="52">
        <v>112868</v>
      </c>
      <c r="F900" s="31"/>
      <c r="G900" s="31">
        <v>1.22</v>
      </c>
      <c r="H900" s="31">
        <v>1.25</v>
      </c>
      <c r="I900" s="31">
        <v>1.3</v>
      </c>
      <c r="J900" s="31"/>
      <c r="K900" s="52">
        <f t="shared" si="195"/>
        <v>223760.81</v>
      </c>
      <c r="L900" s="52">
        <f t="shared" si="235"/>
        <v>1118804.05</v>
      </c>
    </row>
    <row r="901" spans="1:12" ht="30" customHeight="1" x14ac:dyDescent="0.2">
      <c r="A901" s="27" t="s">
        <v>3424</v>
      </c>
      <c r="B901" s="27" t="s">
        <v>2341</v>
      </c>
      <c r="C901" s="27"/>
      <c r="D901" s="31">
        <f t="shared" si="234"/>
        <v>9.7530000000000001</v>
      </c>
      <c r="E901" s="52">
        <v>112868</v>
      </c>
      <c r="F901" s="31"/>
      <c r="G901" s="31">
        <v>1.22</v>
      </c>
      <c r="H901" s="31">
        <v>1.25</v>
      </c>
      <c r="I901" s="31">
        <v>1.3</v>
      </c>
      <c r="J901" s="31"/>
      <c r="K901" s="52">
        <f t="shared" si="195"/>
        <v>223760.81</v>
      </c>
      <c r="L901" s="52">
        <f t="shared" si="235"/>
        <v>1342564.86</v>
      </c>
    </row>
    <row r="902" spans="1:12" ht="30" customHeight="1" x14ac:dyDescent="0.2">
      <c r="A902" s="27" t="s">
        <v>3425</v>
      </c>
      <c r="B902" s="27" t="s">
        <v>2343</v>
      </c>
      <c r="C902" s="27"/>
      <c r="D902" s="31">
        <f t="shared" si="234"/>
        <v>11.537000000000001</v>
      </c>
      <c r="E902" s="52">
        <v>112868</v>
      </c>
      <c r="F902" s="31"/>
      <c r="G902" s="31">
        <v>1.22</v>
      </c>
      <c r="H902" s="31">
        <v>1.25</v>
      </c>
      <c r="I902" s="31">
        <v>1.3</v>
      </c>
      <c r="J902" s="31"/>
      <c r="K902" s="52">
        <f t="shared" si="195"/>
        <v>223760.81</v>
      </c>
      <c r="L902" s="52">
        <f t="shared" si="235"/>
        <v>1566325.6700000002</v>
      </c>
    </row>
    <row r="903" spans="1:12" ht="30" customHeight="1" x14ac:dyDescent="0.2">
      <c r="A903" s="27" t="s">
        <v>3426</v>
      </c>
      <c r="B903" s="27" t="s">
        <v>2345</v>
      </c>
      <c r="C903" s="27"/>
      <c r="D903" s="31">
        <f t="shared" si="234"/>
        <v>13.321000000000002</v>
      </c>
      <c r="E903" s="52">
        <v>112868</v>
      </c>
      <c r="F903" s="31"/>
      <c r="G903" s="31">
        <v>1.22</v>
      </c>
      <c r="H903" s="31">
        <v>1.25</v>
      </c>
      <c r="I903" s="31">
        <v>1.3</v>
      </c>
      <c r="J903" s="31"/>
      <c r="K903" s="52">
        <f t="shared" si="195"/>
        <v>223760.81</v>
      </c>
      <c r="L903" s="52">
        <f t="shared" si="235"/>
        <v>1790086.4800000002</v>
      </c>
    </row>
    <row r="904" spans="1:12" ht="30" customHeight="1" x14ac:dyDescent="0.2">
      <c r="A904" s="27" t="s">
        <v>3427</v>
      </c>
      <c r="B904" s="27" t="s">
        <v>2347</v>
      </c>
      <c r="C904" s="27"/>
      <c r="D904" s="31">
        <f t="shared" si="234"/>
        <v>15.105000000000002</v>
      </c>
      <c r="E904" s="52">
        <v>112868</v>
      </c>
      <c r="F904" s="31"/>
      <c r="G904" s="31">
        <v>1.22</v>
      </c>
      <c r="H904" s="31">
        <v>1.25</v>
      </c>
      <c r="I904" s="31">
        <v>1.3</v>
      </c>
      <c r="J904" s="31"/>
      <c r="K904" s="52">
        <f t="shared" si="195"/>
        <v>223760.81</v>
      </c>
      <c r="L904" s="52">
        <f t="shared" si="235"/>
        <v>2013847.2900000003</v>
      </c>
    </row>
    <row r="905" spans="1:12" ht="30" customHeight="1" x14ac:dyDescent="0.2">
      <c r="A905" s="27" t="s">
        <v>3428</v>
      </c>
      <c r="B905" s="27" t="s">
        <v>2385</v>
      </c>
      <c r="C905" s="27"/>
      <c r="D905" s="31">
        <f t="shared" si="234"/>
        <v>16.889000000000003</v>
      </c>
      <c r="E905" s="52">
        <v>112868</v>
      </c>
      <c r="F905" s="31"/>
      <c r="G905" s="31">
        <v>1.22</v>
      </c>
      <c r="H905" s="31">
        <v>1.25</v>
      </c>
      <c r="I905" s="31">
        <v>1.3</v>
      </c>
      <c r="J905" s="31"/>
      <c r="K905" s="52">
        <f t="shared" si="195"/>
        <v>223760.81</v>
      </c>
      <c r="L905" s="52">
        <f t="shared" si="235"/>
        <v>2237608.1</v>
      </c>
    </row>
    <row r="906" spans="1:12" ht="30" customHeight="1" x14ac:dyDescent="0.2">
      <c r="A906" s="27" t="s">
        <v>903</v>
      </c>
      <c r="B906" s="27" t="s">
        <v>2876</v>
      </c>
      <c r="C906" s="27"/>
      <c r="D906" s="31">
        <v>0</v>
      </c>
      <c r="E906" s="52">
        <v>0</v>
      </c>
      <c r="F906" s="31"/>
      <c r="G906" s="31"/>
      <c r="H906" s="31"/>
      <c r="I906" s="31"/>
      <c r="J906" s="31"/>
      <c r="K906" s="52">
        <f t="shared" si="195"/>
        <v>0</v>
      </c>
      <c r="L906" s="52">
        <v>0</v>
      </c>
    </row>
    <row r="907" spans="1:12" ht="30" customHeight="1" x14ac:dyDescent="0.2">
      <c r="A907" s="27" t="s">
        <v>903</v>
      </c>
      <c r="B907" s="27" t="s">
        <v>3429</v>
      </c>
      <c r="C907" s="27"/>
      <c r="D907" s="31">
        <f>1.617*74</f>
        <v>119.658</v>
      </c>
      <c r="E907" s="52">
        <f>1529*2*74</f>
        <v>226292</v>
      </c>
      <c r="F907" s="31"/>
      <c r="G907" s="31"/>
      <c r="H907" s="31"/>
      <c r="I907" s="31">
        <v>1.3</v>
      </c>
      <c r="J907" s="31"/>
      <c r="K907" s="52">
        <f t="shared" si="195"/>
        <v>294179.60000000003</v>
      </c>
      <c r="L907" s="52">
        <f t="shared" ref="L907:L908" si="236">K907</f>
        <v>294179.60000000003</v>
      </c>
    </row>
    <row r="908" spans="1:12" ht="30" customHeight="1" x14ac:dyDescent="0.2">
      <c r="A908" s="27" t="s">
        <v>465</v>
      </c>
      <c r="B908" s="27" t="s">
        <v>2242</v>
      </c>
      <c r="C908" s="27"/>
      <c r="D908" s="31">
        <v>0</v>
      </c>
      <c r="E908" s="52">
        <v>41415</v>
      </c>
      <c r="F908" s="31"/>
      <c r="G908" s="31">
        <v>1.22</v>
      </c>
      <c r="H908" s="31">
        <v>1.25</v>
      </c>
      <c r="I908" s="31">
        <v>1.3</v>
      </c>
      <c r="J908" s="31"/>
      <c r="K908" s="52">
        <f t="shared" si="195"/>
        <v>82105.237499999988</v>
      </c>
      <c r="L908" s="52">
        <f t="shared" si="236"/>
        <v>82105.237499999988</v>
      </c>
    </row>
    <row r="909" spans="1:12" ht="30" customHeight="1" x14ac:dyDescent="0.2">
      <c r="A909" s="27" t="s">
        <v>465</v>
      </c>
      <c r="B909" s="27" t="s">
        <v>2244</v>
      </c>
      <c r="C909" s="27"/>
      <c r="D909" s="31">
        <f t="shared" ref="D909:D942" si="237">D908+0.8005</f>
        <v>0.80049999999999999</v>
      </c>
      <c r="E909" s="52">
        <v>41415</v>
      </c>
      <c r="F909" s="31"/>
      <c r="G909" s="31">
        <v>1.22</v>
      </c>
      <c r="H909" s="31">
        <v>1.25</v>
      </c>
      <c r="I909" s="31">
        <v>1.3</v>
      </c>
      <c r="J909" s="31"/>
      <c r="K909" s="52">
        <f t="shared" si="195"/>
        <v>82105.237499999988</v>
      </c>
      <c r="L909" s="52">
        <f t="shared" ref="L909:L942" si="238">L908+K909</f>
        <v>164210.47499999998</v>
      </c>
    </row>
    <row r="910" spans="1:12" ht="30" customHeight="1" x14ac:dyDescent="0.2">
      <c r="A910" s="27" t="s">
        <v>465</v>
      </c>
      <c r="B910" s="27" t="s">
        <v>2246</v>
      </c>
      <c r="C910" s="27"/>
      <c r="D910" s="31">
        <f t="shared" si="237"/>
        <v>1.601</v>
      </c>
      <c r="E910" s="52">
        <v>41415</v>
      </c>
      <c r="F910" s="31"/>
      <c r="G910" s="31">
        <v>1.22</v>
      </c>
      <c r="H910" s="31">
        <v>1.25</v>
      </c>
      <c r="I910" s="31">
        <v>1.3</v>
      </c>
      <c r="J910" s="31"/>
      <c r="K910" s="52">
        <f t="shared" si="195"/>
        <v>82105.237499999988</v>
      </c>
      <c r="L910" s="52">
        <f t="shared" si="238"/>
        <v>246315.71249999997</v>
      </c>
    </row>
    <row r="911" spans="1:12" ht="30" customHeight="1" x14ac:dyDescent="0.2">
      <c r="A911" s="27" t="s">
        <v>465</v>
      </c>
      <c r="B911" s="27" t="s">
        <v>2248</v>
      </c>
      <c r="C911" s="27"/>
      <c r="D911" s="31">
        <f t="shared" si="237"/>
        <v>2.4015</v>
      </c>
      <c r="E911" s="52">
        <v>41415</v>
      </c>
      <c r="F911" s="31"/>
      <c r="G911" s="31">
        <v>1.22</v>
      </c>
      <c r="H911" s="31">
        <v>1.25</v>
      </c>
      <c r="I911" s="31">
        <v>1.3</v>
      </c>
      <c r="J911" s="31"/>
      <c r="K911" s="52">
        <f t="shared" si="195"/>
        <v>82105.237499999988</v>
      </c>
      <c r="L911" s="52">
        <f t="shared" si="238"/>
        <v>328420.94999999995</v>
      </c>
    </row>
    <row r="912" spans="1:12" ht="30" customHeight="1" x14ac:dyDescent="0.2">
      <c r="A912" s="27" t="s">
        <v>465</v>
      </c>
      <c r="B912" s="27" t="s">
        <v>2250</v>
      </c>
      <c r="C912" s="27"/>
      <c r="D912" s="31">
        <f t="shared" si="237"/>
        <v>3.202</v>
      </c>
      <c r="E912" s="52">
        <v>41415</v>
      </c>
      <c r="F912" s="31"/>
      <c r="G912" s="31">
        <v>1.22</v>
      </c>
      <c r="H912" s="31">
        <v>1.25</v>
      </c>
      <c r="I912" s="31">
        <v>1.3</v>
      </c>
      <c r="J912" s="31"/>
      <c r="K912" s="52">
        <f t="shared" si="195"/>
        <v>82105.237499999988</v>
      </c>
      <c r="L912" s="52">
        <f t="shared" si="238"/>
        <v>410526.18749999994</v>
      </c>
    </row>
    <row r="913" spans="1:12" ht="30" customHeight="1" x14ac:dyDescent="0.2">
      <c r="A913" s="27" t="s">
        <v>465</v>
      </c>
      <c r="B913" s="27" t="s">
        <v>2291</v>
      </c>
      <c r="C913" s="27"/>
      <c r="D913" s="31">
        <f t="shared" si="237"/>
        <v>4.0024999999999995</v>
      </c>
      <c r="E913" s="52">
        <v>41415</v>
      </c>
      <c r="F913" s="31"/>
      <c r="G913" s="31">
        <v>1.22</v>
      </c>
      <c r="H913" s="31">
        <v>1.25</v>
      </c>
      <c r="I913" s="31">
        <v>1.3</v>
      </c>
      <c r="J913" s="31"/>
      <c r="K913" s="52">
        <f t="shared" si="195"/>
        <v>82105.237499999988</v>
      </c>
      <c r="L913" s="52">
        <f t="shared" si="238"/>
        <v>492631.42499999993</v>
      </c>
    </row>
    <row r="914" spans="1:12" ht="30" customHeight="1" x14ac:dyDescent="0.2">
      <c r="A914" s="27" t="s">
        <v>465</v>
      </c>
      <c r="B914" s="27" t="s">
        <v>2254</v>
      </c>
      <c r="C914" s="27"/>
      <c r="D914" s="31">
        <f t="shared" si="237"/>
        <v>4.802999999999999</v>
      </c>
      <c r="E914" s="52">
        <v>41415</v>
      </c>
      <c r="F914" s="31"/>
      <c r="G914" s="31">
        <v>1.22</v>
      </c>
      <c r="H914" s="31">
        <v>1.25</v>
      </c>
      <c r="I914" s="31">
        <v>1.3</v>
      </c>
      <c r="J914" s="31"/>
      <c r="K914" s="52">
        <f t="shared" si="195"/>
        <v>82105.237499999988</v>
      </c>
      <c r="L914" s="52">
        <f t="shared" si="238"/>
        <v>574736.66249999986</v>
      </c>
    </row>
    <row r="915" spans="1:12" ht="30" customHeight="1" x14ac:dyDescent="0.2">
      <c r="A915" s="27" t="s">
        <v>465</v>
      </c>
      <c r="B915" s="27" t="s">
        <v>2256</v>
      </c>
      <c r="C915" s="27"/>
      <c r="D915" s="31">
        <f t="shared" si="237"/>
        <v>5.6034999999999986</v>
      </c>
      <c r="E915" s="52">
        <v>41415</v>
      </c>
      <c r="F915" s="31"/>
      <c r="G915" s="31">
        <v>1.22</v>
      </c>
      <c r="H915" s="31">
        <v>1.25</v>
      </c>
      <c r="I915" s="31">
        <v>1.3</v>
      </c>
      <c r="J915" s="31"/>
      <c r="K915" s="52">
        <f t="shared" si="195"/>
        <v>82105.237499999988</v>
      </c>
      <c r="L915" s="52">
        <f t="shared" si="238"/>
        <v>656841.89999999991</v>
      </c>
    </row>
    <row r="916" spans="1:12" ht="30" customHeight="1" x14ac:dyDescent="0.2">
      <c r="A916" s="27" t="s">
        <v>465</v>
      </c>
      <c r="B916" s="27" t="s">
        <v>2258</v>
      </c>
      <c r="C916" s="27"/>
      <c r="D916" s="31">
        <f t="shared" si="237"/>
        <v>6.4039999999999981</v>
      </c>
      <c r="E916" s="52">
        <v>41415</v>
      </c>
      <c r="F916" s="31"/>
      <c r="G916" s="31">
        <v>1.22</v>
      </c>
      <c r="H916" s="31">
        <v>1.25</v>
      </c>
      <c r="I916" s="31">
        <v>1.3</v>
      </c>
      <c r="J916" s="31"/>
      <c r="K916" s="52">
        <f t="shared" si="195"/>
        <v>82105.237499999988</v>
      </c>
      <c r="L916" s="52">
        <f t="shared" si="238"/>
        <v>738947.13749999995</v>
      </c>
    </row>
    <row r="917" spans="1:12" ht="30" customHeight="1" x14ac:dyDescent="0.2">
      <c r="A917" s="27" t="s">
        <v>465</v>
      </c>
      <c r="B917" s="27" t="s">
        <v>2260</v>
      </c>
      <c r="C917" s="27"/>
      <c r="D917" s="31">
        <f t="shared" si="237"/>
        <v>7.2044999999999977</v>
      </c>
      <c r="E917" s="52">
        <v>41415</v>
      </c>
      <c r="F917" s="31"/>
      <c r="G917" s="31">
        <v>1.22</v>
      </c>
      <c r="H917" s="31">
        <v>1.25</v>
      </c>
      <c r="I917" s="31">
        <v>1.3</v>
      </c>
      <c r="J917" s="31"/>
      <c r="K917" s="52">
        <f t="shared" si="195"/>
        <v>82105.237499999988</v>
      </c>
      <c r="L917" s="52">
        <f t="shared" si="238"/>
        <v>821052.375</v>
      </c>
    </row>
    <row r="918" spans="1:12" ht="30" customHeight="1" x14ac:dyDescent="0.2">
      <c r="A918" s="27" t="s">
        <v>465</v>
      </c>
      <c r="B918" s="27" t="s">
        <v>2297</v>
      </c>
      <c r="C918" s="27"/>
      <c r="D918" s="31">
        <f t="shared" si="237"/>
        <v>8.0049999999999972</v>
      </c>
      <c r="E918" s="52">
        <v>41415</v>
      </c>
      <c r="F918" s="31"/>
      <c r="G918" s="31">
        <v>1.22</v>
      </c>
      <c r="H918" s="31">
        <v>1.25</v>
      </c>
      <c r="I918" s="31">
        <v>1.3</v>
      </c>
      <c r="J918" s="31"/>
      <c r="K918" s="52">
        <f t="shared" si="195"/>
        <v>82105.237499999988</v>
      </c>
      <c r="L918" s="52">
        <f t="shared" si="238"/>
        <v>903157.61250000005</v>
      </c>
    </row>
    <row r="919" spans="1:12" ht="30" customHeight="1" x14ac:dyDescent="0.2">
      <c r="A919" s="27" t="s">
        <v>465</v>
      </c>
      <c r="B919" s="27" t="s">
        <v>2264</v>
      </c>
      <c r="C919" s="27"/>
      <c r="D919" s="31">
        <f t="shared" si="237"/>
        <v>8.8054999999999968</v>
      </c>
      <c r="E919" s="52">
        <v>41415</v>
      </c>
      <c r="F919" s="31"/>
      <c r="G919" s="31">
        <v>1.22</v>
      </c>
      <c r="H919" s="31">
        <v>1.25</v>
      </c>
      <c r="I919" s="31">
        <v>1.3</v>
      </c>
      <c r="J919" s="31"/>
      <c r="K919" s="52">
        <f t="shared" si="195"/>
        <v>82105.237499999988</v>
      </c>
      <c r="L919" s="52">
        <f t="shared" si="238"/>
        <v>985262.85000000009</v>
      </c>
    </row>
    <row r="920" spans="1:12" ht="30" customHeight="1" x14ac:dyDescent="0.2">
      <c r="A920" s="27" t="s">
        <v>465</v>
      </c>
      <c r="B920" s="27" t="s">
        <v>2266</v>
      </c>
      <c r="C920" s="27"/>
      <c r="D920" s="31">
        <f t="shared" si="237"/>
        <v>9.6059999999999963</v>
      </c>
      <c r="E920" s="52">
        <v>41415</v>
      </c>
      <c r="F920" s="31"/>
      <c r="G920" s="31">
        <v>1.22</v>
      </c>
      <c r="H920" s="31">
        <v>1.25</v>
      </c>
      <c r="I920" s="31">
        <v>1.3</v>
      </c>
      <c r="J920" s="31"/>
      <c r="K920" s="52">
        <f t="shared" si="195"/>
        <v>82105.237499999988</v>
      </c>
      <c r="L920" s="52">
        <f t="shared" si="238"/>
        <v>1067368.0875000001</v>
      </c>
    </row>
    <row r="921" spans="1:12" ht="30" customHeight="1" x14ac:dyDescent="0.2">
      <c r="A921" s="27" t="s">
        <v>465</v>
      </c>
      <c r="B921" s="27" t="s">
        <v>2268</v>
      </c>
      <c r="C921" s="27"/>
      <c r="D921" s="31">
        <f t="shared" si="237"/>
        <v>10.406499999999996</v>
      </c>
      <c r="E921" s="52">
        <v>41415</v>
      </c>
      <c r="F921" s="31"/>
      <c r="G921" s="31">
        <v>1.22</v>
      </c>
      <c r="H921" s="31">
        <v>1.25</v>
      </c>
      <c r="I921" s="31">
        <v>1.3</v>
      </c>
      <c r="J921" s="31"/>
      <c r="K921" s="52">
        <f t="shared" si="195"/>
        <v>82105.237499999988</v>
      </c>
      <c r="L921" s="52">
        <f t="shared" si="238"/>
        <v>1149473.3250000002</v>
      </c>
    </row>
    <row r="922" spans="1:12" ht="30" customHeight="1" x14ac:dyDescent="0.2">
      <c r="A922" s="27" t="s">
        <v>465</v>
      </c>
      <c r="B922" s="27" t="s">
        <v>2270</v>
      </c>
      <c r="C922" s="27"/>
      <c r="D922" s="31">
        <f t="shared" si="237"/>
        <v>11.206999999999995</v>
      </c>
      <c r="E922" s="52">
        <v>41415</v>
      </c>
      <c r="F922" s="31"/>
      <c r="G922" s="31">
        <v>1.22</v>
      </c>
      <c r="H922" s="31">
        <v>1.25</v>
      </c>
      <c r="I922" s="31">
        <v>1.3</v>
      </c>
      <c r="J922" s="31"/>
      <c r="K922" s="52">
        <f t="shared" si="195"/>
        <v>82105.237499999988</v>
      </c>
      <c r="L922" s="52">
        <f t="shared" si="238"/>
        <v>1231578.5625000002</v>
      </c>
    </row>
    <row r="923" spans="1:12" ht="30" customHeight="1" x14ac:dyDescent="0.2">
      <c r="A923" s="27" t="s">
        <v>465</v>
      </c>
      <c r="B923" s="27" t="s">
        <v>2303</v>
      </c>
      <c r="C923" s="27"/>
      <c r="D923" s="31">
        <f t="shared" si="237"/>
        <v>12.007499999999995</v>
      </c>
      <c r="E923" s="52">
        <v>41415</v>
      </c>
      <c r="F923" s="31"/>
      <c r="G923" s="31">
        <v>1.22</v>
      </c>
      <c r="H923" s="31">
        <v>1.25</v>
      </c>
      <c r="I923" s="31">
        <v>1.3</v>
      </c>
      <c r="J923" s="31"/>
      <c r="K923" s="52">
        <f t="shared" si="195"/>
        <v>82105.237499999988</v>
      </c>
      <c r="L923" s="52">
        <f t="shared" si="238"/>
        <v>1313683.8000000003</v>
      </c>
    </row>
    <row r="924" spans="1:12" ht="30" customHeight="1" x14ac:dyDescent="0.2">
      <c r="A924" s="27" t="s">
        <v>465</v>
      </c>
      <c r="B924" s="27" t="s">
        <v>2274</v>
      </c>
      <c r="C924" s="27"/>
      <c r="D924" s="31">
        <f t="shared" si="237"/>
        <v>12.807999999999995</v>
      </c>
      <c r="E924" s="52">
        <v>41415</v>
      </c>
      <c r="F924" s="31"/>
      <c r="G924" s="31">
        <v>1.22</v>
      </c>
      <c r="H924" s="31">
        <v>1.25</v>
      </c>
      <c r="I924" s="31">
        <v>1.3</v>
      </c>
      <c r="J924" s="31"/>
      <c r="K924" s="52">
        <f t="shared" si="195"/>
        <v>82105.237499999988</v>
      </c>
      <c r="L924" s="52">
        <f t="shared" si="238"/>
        <v>1395789.0375000003</v>
      </c>
    </row>
    <row r="925" spans="1:12" ht="30" customHeight="1" x14ac:dyDescent="0.2">
      <c r="A925" s="27" t="s">
        <v>465</v>
      </c>
      <c r="B925" s="27" t="s">
        <v>2276</v>
      </c>
      <c r="C925" s="27"/>
      <c r="D925" s="31">
        <f t="shared" si="237"/>
        <v>13.608499999999994</v>
      </c>
      <c r="E925" s="52">
        <v>41415</v>
      </c>
      <c r="F925" s="31"/>
      <c r="G925" s="31">
        <v>1.22</v>
      </c>
      <c r="H925" s="31">
        <v>1.25</v>
      </c>
      <c r="I925" s="31">
        <v>1.3</v>
      </c>
      <c r="J925" s="31"/>
      <c r="K925" s="52">
        <f t="shared" si="195"/>
        <v>82105.237499999988</v>
      </c>
      <c r="L925" s="52">
        <f t="shared" si="238"/>
        <v>1477894.2750000004</v>
      </c>
    </row>
    <row r="926" spans="1:12" ht="30" customHeight="1" x14ac:dyDescent="0.2">
      <c r="A926" s="27" t="s">
        <v>465</v>
      </c>
      <c r="B926" s="27" t="s">
        <v>2278</v>
      </c>
      <c r="C926" s="27"/>
      <c r="D926" s="31">
        <f t="shared" si="237"/>
        <v>14.408999999999994</v>
      </c>
      <c r="E926" s="52">
        <v>41415</v>
      </c>
      <c r="F926" s="31"/>
      <c r="G926" s="31">
        <v>1.22</v>
      </c>
      <c r="H926" s="31">
        <v>1.25</v>
      </c>
      <c r="I926" s="31">
        <v>1.3</v>
      </c>
      <c r="J926" s="31"/>
      <c r="K926" s="52">
        <f t="shared" si="195"/>
        <v>82105.237499999988</v>
      </c>
      <c r="L926" s="52">
        <f t="shared" si="238"/>
        <v>1559999.5125000004</v>
      </c>
    </row>
    <row r="927" spans="1:12" ht="30" customHeight="1" x14ac:dyDescent="0.2">
      <c r="A927" s="27" t="s">
        <v>465</v>
      </c>
      <c r="B927" s="27" t="s">
        <v>2280</v>
      </c>
      <c r="C927" s="27"/>
      <c r="D927" s="31">
        <f t="shared" si="237"/>
        <v>15.209499999999993</v>
      </c>
      <c r="E927" s="52">
        <v>41415</v>
      </c>
      <c r="F927" s="31"/>
      <c r="G927" s="31">
        <v>1.22</v>
      </c>
      <c r="H927" s="31">
        <v>1.25</v>
      </c>
      <c r="I927" s="31">
        <v>1.3</v>
      </c>
      <c r="J927" s="31"/>
      <c r="K927" s="52">
        <f t="shared" si="195"/>
        <v>82105.237499999988</v>
      </c>
      <c r="L927" s="52">
        <f t="shared" si="238"/>
        <v>1642104.7500000005</v>
      </c>
    </row>
    <row r="928" spans="1:12" ht="30" customHeight="1" x14ac:dyDescent="0.2">
      <c r="A928" s="27" t="s">
        <v>465</v>
      </c>
      <c r="B928" s="27" t="s">
        <v>2309</v>
      </c>
      <c r="C928" s="27"/>
      <c r="D928" s="31">
        <f t="shared" si="237"/>
        <v>16.009999999999994</v>
      </c>
      <c r="E928" s="52">
        <v>41415</v>
      </c>
      <c r="F928" s="31"/>
      <c r="G928" s="31">
        <v>1.22</v>
      </c>
      <c r="H928" s="31">
        <v>1.25</v>
      </c>
      <c r="I928" s="31">
        <v>1.3</v>
      </c>
      <c r="J928" s="31"/>
      <c r="K928" s="52">
        <f t="shared" si="195"/>
        <v>82105.237499999988</v>
      </c>
      <c r="L928" s="52">
        <f t="shared" si="238"/>
        <v>1724209.9875000005</v>
      </c>
    </row>
    <row r="929" spans="1:12" ht="30" customHeight="1" x14ac:dyDescent="0.2">
      <c r="A929" s="27" t="s">
        <v>465</v>
      </c>
      <c r="B929" s="27" t="s">
        <v>2284</v>
      </c>
      <c r="C929" s="27"/>
      <c r="D929" s="31">
        <f t="shared" si="237"/>
        <v>16.810499999999994</v>
      </c>
      <c r="E929" s="52">
        <v>41415</v>
      </c>
      <c r="F929" s="31"/>
      <c r="G929" s="31">
        <v>1.22</v>
      </c>
      <c r="H929" s="31">
        <v>1.25</v>
      </c>
      <c r="I929" s="31">
        <v>1.3</v>
      </c>
      <c r="J929" s="31"/>
      <c r="K929" s="52">
        <f t="shared" si="195"/>
        <v>82105.237499999988</v>
      </c>
      <c r="L929" s="52">
        <f t="shared" si="238"/>
        <v>1806315.2250000006</v>
      </c>
    </row>
    <row r="930" spans="1:12" ht="30" customHeight="1" x14ac:dyDescent="0.2">
      <c r="A930" s="27" t="s">
        <v>465</v>
      </c>
      <c r="B930" s="27" t="s">
        <v>2424</v>
      </c>
      <c r="C930" s="27"/>
      <c r="D930" s="31">
        <f t="shared" si="237"/>
        <v>17.610999999999994</v>
      </c>
      <c r="E930" s="52">
        <v>41415</v>
      </c>
      <c r="F930" s="31"/>
      <c r="G930" s="31">
        <v>1.22</v>
      </c>
      <c r="H930" s="31">
        <v>1.25</v>
      </c>
      <c r="I930" s="31">
        <v>1.3</v>
      </c>
      <c r="J930" s="31"/>
      <c r="K930" s="52">
        <f t="shared" si="195"/>
        <v>82105.237499999988</v>
      </c>
      <c r="L930" s="52">
        <f t="shared" si="238"/>
        <v>1888420.4625000006</v>
      </c>
    </row>
    <row r="931" spans="1:12" ht="30" customHeight="1" x14ac:dyDescent="0.2">
      <c r="A931" s="27" t="s">
        <v>465</v>
      </c>
      <c r="B931" s="27" t="s">
        <v>2491</v>
      </c>
      <c r="C931" s="27"/>
      <c r="D931" s="31">
        <f t="shared" si="237"/>
        <v>18.411499999999993</v>
      </c>
      <c r="E931" s="52">
        <v>41415</v>
      </c>
      <c r="F931" s="31"/>
      <c r="G931" s="31">
        <v>1.22</v>
      </c>
      <c r="H931" s="31">
        <v>1.25</v>
      </c>
      <c r="I931" s="31">
        <v>1.3</v>
      </c>
      <c r="J931" s="31"/>
      <c r="K931" s="52">
        <f t="shared" si="195"/>
        <v>82105.237499999988</v>
      </c>
      <c r="L931" s="52">
        <f t="shared" si="238"/>
        <v>1970525.7000000007</v>
      </c>
    </row>
    <row r="932" spans="1:12" ht="30" customHeight="1" x14ac:dyDescent="0.2">
      <c r="A932" s="27" t="s">
        <v>465</v>
      </c>
      <c r="B932" s="27" t="s">
        <v>3098</v>
      </c>
      <c r="C932" s="27"/>
      <c r="D932" s="31">
        <f t="shared" si="237"/>
        <v>19.211999999999993</v>
      </c>
      <c r="E932" s="52">
        <v>41415</v>
      </c>
      <c r="F932" s="31"/>
      <c r="G932" s="31">
        <v>1.22</v>
      </c>
      <c r="H932" s="31">
        <v>1.25</v>
      </c>
      <c r="I932" s="31">
        <v>1.3</v>
      </c>
      <c r="J932" s="31"/>
      <c r="K932" s="52">
        <f t="shared" si="195"/>
        <v>82105.237499999988</v>
      </c>
      <c r="L932" s="52">
        <f t="shared" si="238"/>
        <v>2052630.9375000007</v>
      </c>
    </row>
    <row r="933" spans="1:12" ht="30" customHeight="1" x14ac:dyDescent="0.2">
      <c r="A933" s="27" t="s">
        <v>465</v>
      </c>
      <c r="B933" s="27" t="s">
        <v>3100</v>
      </c>
      <c r="C933" s="27"/>
      <c r="D933" s="31">
        <f t="shared" si="237"/>
        <v>20.012499999999992</v>
      </c>
      <c r="E933" s="52">
        <v>41415</v>
      </c>
      <c r="F933" s="31"/>
      <c r="G933" s="31">
        <v>1.22</v>
      </c>
      <c r="H933" s="31">
        <v>1.25</v>
      </c>
      <c r="I933" s="31">
        <v>1.3</v>
      </c>
      <c r="J933" s="31"/>
      <c r="K933" s="52">
        <f t="shared" si="195"/>
        <v>82105.237499999988</v>
      </c>
      <c r="L933" s="52">
        <f t="shared" si="238"/>
        <v>2134736.1750000007</v>
      </c>
    </row>
    <row r="934" spans="1:12" ht="30" customHeight="1" x14ac:dyDescent="0.2">
      <c r="A934" s="27" t="s">
        <v>465</v>
      </c>
      <c r="B934" s="27" t="s">
        <v>3102</v>
      </c>
      <c r="C934" s="27"/>
      <c r="D934" s="31">
        <f t="shared" si="237"/>
        <v>20.812999999999992</v>
      </c>
      <c r="E934" s="52">
        <v>41415</v>
      </c>
      <c r="F934" s="31"/>
      <c r="G934" s="31">
        <v>1.22</v>
      </c>
      <c r="H934" s="31">
        <v>1.25</v>
      </c>
      <c r="I934" s="31">
        <v>1.3</v>
      </c>
      <c r="J934" s="31"/>
      <c r="K934" s="52">
        <f t="shared" si="195"/>
        <v>82105.237499999988</v>
      </c>
      <c r="L934" s="52">
        <f t="shared" si="238"/>
        <v>2216841.4125000006</v>
      </c>
    </row>
    <row r="935" spans="1:12" ht="30" customHeight="1" x14ac:dyDescent="0.2">
      <c r="A935" s="27" t="s">
        <v>465</v>
      </c>
      <c r="B935" s="27" t="s">
        <v>3104</v>
      </c>
      <c r="C935" s="27"/>
      <c r="D935" s="31">
        <f t="shared" si="237"/>
        <v>21.613499999999991</v>
      </c>
      <c r="E935" s="52">
        <v>41415</v>
      </c>
      <c r="F935" s="31"/>
      <c r="G935" s="31">
        <v>1.22</v>
      </c>
      <c r="H935" s="31">
        <v>1.25</v>
      </c>
      <c r="I935" s="31">
        <v>1.3</v>
      </c>
      <c r="J935" s="31"/>
      <c r="K935" s="52">
        <f t="shared" si="195"/>
        <v>82105.237499999988</v>
      </c>
      <c r="L935" s="52">
        <f t="shared" si="238"/>
        <v>2298946.6500000004</v>
      </c>
    </row>
    <row r="936" spans="1:12" ht="30" customHeight="1" x14ac:dyDescent="0.2">
      <c r="A936" s="27" t="s">
        <v>465</v>
      </c>
      <c r="B936" s="27" t="s">
        <v>3106</v>
      </c>
      <c r="C936" s="27"/>
      <c r="D936" s="31">
        <f t="shared" si="237"/>
        <v>22.413999999999991</v>
      </c>
      <c r="E936" s="52">
        <v>41415</v>
      </c>
      <c r="F936" s="31"/>
      <c r="G936" s="31">
        <v>1.22</v>
      </c>
      <c r="H936" s="31">
        <v>1.25</v>
      </c>
      <c r="I936" s="31">
        <v>1.3</v>
      </c>
      <c r="J936" s="31"/>
      <c r="K936" s="52">
        <f t="shared" si="195"/>
        <v>82105.237499999988</v>
      </c>
      <c r="L936" s="52">
        <f t="shared" si="238"/>
        <v>2381051.8875000002</v>
      </c>
    </row>
    <row r="937" spans="1:12" ht="30" customHeight="1" x14ac:dyDescent="0.2">
      <c r="A937" s="27" t="s">
        <v>465</v>
      </c>
      <c r="B937" s="27" t="s">
        <v>3108</v>
      </c>
      <c r="C937" s="27"/>
      <c r="D937" s="31">
        <f t="shared" si="237"/>
        <v>23.21449999999999</v>
      </c>
      <c r="E937" s="52">
        <v>41415</v>
      </c>
      <c r="F937" s="31"/>
      <c r="G937" s="31">
        <v>1.22</v>
      </c>
      <c r="H937" s="31">
        <v>1.25</v>
      </c>
      <c r="I937" s="31">
        <v>1.3</v>
      </c>
      <c r="J937" s="31"/>
      <c r="K937" s="52">
        <f t="shared" si="195"/>
        <v>82105.237499999988</v>
      </c>
      <c r="L937" s="52">
        <f t="shared" si="238"/>
        <v>2463157.125</v>
      </c>
    </row>
    <row r="938" spans="1:12" ht="30" customHeight="1" x14ac:dyDescent="0.2">
      <c r="A938" s="27" t="s">
        <v>465</v>
      </c>
      <c r="B938" s="27" t="s">
        <v>3110</v>
      </c>
      <c r="C938" s="27"/>
      <c r="D938" s="31">
        <f t="shared" si="237"/>
        <v>24.01499999999999</v>
      </c>
      <c r="E938" s="52">
        <v>41415</v>
      </c>
      <c r="F938" s="31"/>
      <c r="G938" s="31">
        <v>1.22</v>
      </c>
      <c r="H938" s="31">
        <v>1.25</v>
      </c>
      <c r="I938" s="31">
        <v>1.3</v>
      </c>
      <c r="J938" s="31"/>
      <c r="K938" s="52">
        <f t="shared" si="195"/>
        <v>82105.237499999988</v>
      </c>
      <c r="L938" s="52">
        <f t="shared" si="238"/>
        <v>2545262.3624999998</v>
      </c>
    </row>
    <row r="939" spans="1:12" ht="30" customHeight="1" x14ac:dyDescent="0.2">
      <c r="A939" s="27" t="s">
        <v>465</v>
      </c>
      <c r="B939" s="27" t="s">
        <v>3112</v>
      </c>
      <c r="C939" s="27"/>
      <c r="D939" s="31">
        <f t="shared" si="237"/>
        <v>24.815499999999989</v>
      </c>
      <c r="E939" s="52">
        <v>41415</v>
      </c>
      <c r="F939" s="31"/>
      <c r="G939" s="31">
        <v>1.22</v>
      </c>
      <c r="H939" s="31">
        <v>1.25</v>
      </c>
      <c r="I939" s="31">
        <v>1.3</v>
      </c>
      <c r="J939" s="31"/>
      <c r="K939" s="52">
        <f t="shared" si="195"/>
        <v>82105.237499999988</v>
      </c>
      <c r="L939" s="52">
        <f t="shared" si="238"/>
        <v>2627367.5999999996</v>
      </c>
    </row>
    <row r="940" spans="1:12" ht="30" customHeight="1" x14ac:dyDescent="0.2">
      <c r="A940" s="27" t="s">
        <v>465</v>
      </c>
      <c r="B940" s="27" t="s">
        <v>3114</v>
      </c>
      <c r="C940" s="27"/>
      <c r="D940" s="31">
        <f t="shared" si="237"/>
        <v>25.615999999999989</v>
      </c>
      <c r="E940" s="52">
        <v>41415</v>
      </c>
      <c r="F940" s="31"/>
      <c r="G940" s="31">
        <v>1.22</v>
      </c>
      <c r="H940" s="31">
        <v>1.25</v>
      </c>
      <c r="I940" s="31">
        <v>1.3</v>
      </c>
      <c r="J940" s="31"/>
      <c r="K940" s="52">
        <f t="shared" si="195"/>
        <v>82105.237499999988</v>
      </c>
      <c r="L940" s="52">
        <f t="shared" si="238"/>
        <v>2709472.8374999994</v>
      </c>
    </row>
    <row r="941" spans="1:12" ht="30" customHeight="1" x14ac:dyDescent="0.2">
      <c r="A941" s="27" t="s">
        <v>465</v>
      </c>
      <c r="B941" s="27" t="s">
        <v>3116</v>
      </c>
      <c r="C941" s="27"/>
      <c r="D941" s="31">
        <f t="shared" si="237"/>
        <v>26.416499999999989</v>
      </c>
      <c r="E941" s="52">
        <v>41415</v>
      </c>
      <c r="F941" s="31"/>
      <c r="G941" s="31">
        <v>1.22</v>
      </c>
      <c r="H941" s="31">
        <v>1.25</v>
      </c>
      <c r="I941" s="31">
        <v>1.3</v>
      </c>
      <c r="J941" s="31"/>
      <c r="K941" s="52">
        <f t="shared" si="195"/>
        <v>82105.237499999988</v>
      </c>
      <c r="L941" s="52">
        <f t="shared" si="238"/>
        <v>2791578.0749999993</v>
      </c>
    </row>
    <row r="942" spans="1:12" ht="30" customHeight="1" x14ac:dyDescent="0.2">
      <c r="A942" s="27" t="s">
        <v>465</v>
      </c>
      <c r="B942" s="27" t="s">
        <v>3253</v>
      </c>
      <c r="C942" s="27"/>
      <c r="D942" s="31">
        <f t="shared" si="237"/>
        <v>27.216999999999988</v>
      </c>
      <c r="E942" s="52">
        <v>41415</v>
      </c>
      <c r="F942" s="31"/>
      <c r="G942" s="31">
        <v>1.22</v>
      </c>
      <c r="H942" s="31">
        <v>1.25</v>
      </c>
      <c r="I942" s="31">
        <v>1.3</v>
      </c>
      <c r="J942" s="31"/>
      <c r="K942" s="52">
        <f t="shared" si="195"/>
        <v>82105.237499999988</v>
      </c>
      <c r="L942" s="52">
        <f t="shared" si="238"/>
        <v>2873683.3124999991</v>
      </c>
    </row>
    <row r="943" spans="1:12" ht="30" customHeight="1" x14ac:dyDescent="0.2">
      <c r="A943" s="27" t="s">
        <v>3430</v>
      </c>
      <c r="B943" s="27" t="s">
        <v>2242</v>
      </c>
      <c r="C943" s="27"/>
      <c r="D943" s="31">
        <v>0.183</v>
      </c>
      <c r="E943" s="52">
        <v>28588</v>
      </c>
      <c r="F943" s="31">
        <v>1.1499999999999999</v>
      </c>
      <c r="G943" s="31">
        <v>1.22</v>
      </c>
      <c r="H943" s="31">
        <v>1.25</v>
      </c>
      <c r="I943" s="31">
        <v>1.3</v>
      </c>
      <c r="J943" s="31">
        <v>1.0777000000000001</v>
      </c>
      <c r="K943" s="52">
        <f t="shared" si="195"/>
        <v>70241.324567049989</v>
      </c>
      <c r="L943" s="52">
        <f>K943</f>
        <v>70241.324567049989</v>
      </c>
    </row>
    <row r="944" spans="1:12" ht="30" customHeight="1" x14ac:dyDescent="0.2">
      <c r="A944" s="27" t="s">
        <v>3431</v>
      </c>
      <c r="B944" s="27" t="s">
        <v>2244</v>
      </c>
      <c r="C944" s="27"/>
      <c r="D944" s="31">
        <f t="shared" ref="D944:D945" si="239">D943+1.05</f>
        <v>1.2330000000000001</v>
      </c>
      <c r="E944" s="52">
        <v>28588</v>
      </c>
      <c r="F944" s="31">
        <v>1.1499999999999999</v>
      </c>
      <c r="G944" s="31">
        <v>1.22</v>
      </c>
      <c r="H944" s="31">
        <v>1.25</v>
      </c>
      <c r="I944" s="31">
        <v>1.3</v>
      </c>
      <c r="J944" s="31">
        <v>1.0777000000000001</v>
      </c>
      <c r="K944" s="52">
        <f t="shared" si="195"/>
        <v>70241.324567049989</v>
      </c>
      <c r="L944" s="52">
        <f t="shared" ref="L944:L963" si="240">K944+L943</f>
        <v>140482.64913409998</v>
      </c>
    </row>
    <row r="945" spans="1:12" ht="30" customHeight="1" x14ac:dyDescent="0.2">
      <c r="A945" s="27" t="s">
        <v>3432</v>
      </c>
      <c r="B945" s="27" t="s">
        <v>2246</v>
      </c>
      <c r="C945" s="27"/>
      <c r="D945" s="31">
        <f t="shared" si="239"/>
        <v>2.2830000000000004</v>
      </c>
      <c r="E945" s="52">
        <v>28588</v>
      </c>
      <c r="F945" s="31">
        <v>1.1499999999999999</v>
      </c>
      <c r="G945" s="31">
        <v>1.22</v>
      </c>
      <c r="H945" s="31">
        <v>1.25</v>
      </c>
      <c r="I945" s="31">
        <v>1.3</v>
      </c>
      <c r="J945" s="31">
        <v>1.0777000000000001</v>
      </c>
      <c r="K945" s="52">
        <f t="shared" si="195"/>
        <v>70241.324567049989</v>
      </c>
      <c r="L945" s="52">
        <f t="shared" si="240"/>
        <v>210723.97370114998</v>
      </c>
    </row>
    <row r="946" spans="1:12" ht="30" customHeight="1" x14ac:dyDescent="0.2">
      <c r="A946" s="27" t="s">
        <v>3433</v>
      </c>
      <c r="B946" s="27" t="s">
        <v>2248</v>
      </c>
      <c r="C946" s="27"/>
      <c r="D946" s="31">
        <f t="shared" ref="D946:D947" si="241">D945+1.617</f>
        <v>3.9000000000000004</v>
      </c>
      <c r="E946" s="52">
        <v>28588</v>
      </c>
      <c r="F946" s="31">
        <v>1.1499999999999999</v>
      </c>
      <c r="G946" s="31">
        <v>1.22</v>
      </c>
      <c r="H946" s="31">
        <v>1.25</v>
      </c>
      <c r="I946" s="31">
        <v>1.3</v>
      </c>
      <c r="J946" s="31">
        <v>1.0777000000000001</v>
      </c>
      <c r="K946" s="52">
        <f t="shared" si="195"/>
        <v>70241.324567049989</v>
      </c>
      <c r="L946" s="52">
        <f t="shared" si="240"/>
        <v>280965.29826819996</v>
      </c>
    </row>
    <row r="947" spans="1:12" ht="30" customHeight="1" x14ac:dyDescent="0.2">
      <c r="A947" s="27" t="s">
        <v>3434</v>
      </c>
      <c r="B947" s="27" t="s">
        <v>2250</v>
      </c>
      <c r="C947" s="27"/>
      <c r="D947" s="31">
        <f t="shared" si="241"/>
        <v>5.5170000000000003</v>
      </c>
      <c r="E947" s="52">
        <v>28588</v>
      </c>
      <c r="F947" s="31">
        <v>1.1499999999999999</v>
      </c>
      <c r="G947" s="31">
        <v>1.22</v>
      </c>
      <c r="H947" s="31">
        <v>1.25</v>
      </c>
      <c r="I947" s="31">
        <v>1.3</v>
      </c>
      <c r="J947" s="31">
        <v>1.0777000000000001</v>
      </c>
      <c r="K947" s="52">
        <f t="shared" si="195"/>
        <v>70241.324567049989</v>
      </c>
      <c r="L947" s="52">
        <f t="shared" si="240"/>
        <v>351206.62283524993</v>
      </c>
    </row>
    <row r="948" spans="1:12" ht="30" customHeight="1" x14ac:dyDescent="0.2">
      <c r="A948" s="27" t="s">
        <v>3435</v>
      </c>
      <c r="B948" s="27" t="s">
        <v>2291</v>
      </c>
      <c r="C948" s="27"/>
      <c r="D948" s="31">
        <f t="shared" ref="D948:D949" si="242">D947+1.05</f>
        <v>6.5670000000000002</v>
      </c>
      <c r="E948" s="52">
        <v>28588</v>
      </c>
      <c r="F948" s="31">
        <v>1.1499999999999999</v>
      </c>
      <c r="G948" s="31">
        <v>1.22</v>
      </c>
      <c r="H948" s="31">
        <v>1.25</v>
      </c>
      <c r="I948" s="31">
        <v>1.3</v>
      </c>
      <c r="J948" s="31">
        <v>1.0777000000000001</v>
      </c>
      <c r="K948" s="52">
        <f t="shared" si="195"/>
        <v>70241.324567049989</v>
      </c>
      <c r="L948" s="52">
        <f t="shared" si="240"/>
        <v>421447.94740229991</v>
      </c>
    </row>
    <row r="949" spans="1:12" ht="30" customHeight="1" x14ac:dyDescent="0.2">
      <c r="A949" s="27" t="s">
        <v>3436</v>
      </c>
      <c r="B949" s="27" t="s">
        <v>2254</v>
      </c>
      <c r="C949" s="27"/>
      <c r="D949" s="31">
        <f t="shared" si="242"/>
        <v>7.617</v>
      </c>
      <c r="E949" s="52">
        <v>28588</v>
      </c>
      <c r="F949" s="31">
        <v>1.1499999999999999</v>
      </c>
      <c r="G949" s="31">
        <v>1.22</v>
      </c>
      <c r="H949" s="31">
        <v>1.25</v>
      </c>
      <c r="I949" s="31">
        <v>1.3</v>
      </c>
      <c r="J949" s="31">
        <v>1.0777000000000001</v>
      </c>
      <c r="K949" s="52">
        <f t="shared" si="195"/>
        <v>70241.324567049989</v>
      </c>
      <c r="L949" s="52">
        <f t="shared" si="240"/>
        <v>491689.27196934988</v>
      </c>
    </row>
    <row r="950" spans="1:12" ht="30" customHeight="1" x14ac:dyDescent="0.2">
      <c r="A950" s="27" t="s">
        <v>3437</v>
      </c>
      <c r="B950" s="27" t="s">
        <v>2256</v>
      </c>
      <c r="C950" s="27"/>
      <c r="D950" s="31">
        <f t="shared" ref="D950:D951" si="243">D949+1.617</f>
        <v>9.234</v>
      </c>
      <c r="E950" s="52">
        <v>28588</v>
      </c>
      <c r="F950" s="31">
        <v>1.1499999999999999</v>
      </c>
      <c r="G950" s="31">
        <v>1.22</v>
      </c>
      <c r="H950" s="31">
        <v>1.25</v>
      </c>
      <c r="I950" s="31">
        <v>1.3</v>
      </c>
      <c r="J950" s="31">
        <v>1.0777000000000001</v>
      </c>
      <c r="K950" s="52">
        <f t="shared" si="195"/>
        <v>70241.324567049989</v>
      </c>
      <c r="L950" s="52">
        <f t="shared" si="240"/>
        <v>561930.59653639991</v>
      </c>
    </row>
    <row r="951" spans="1:12" ht="30" customHeight="1" x14ac:dyDescent="0.2">
      <c r="A951" s="27" t="s">
        <v>3438</v>
      </c>
      <c r="B951" s="27" t="s">
        <v>2258</v>
      </c>
      <c r="C951" s="27"/>
      <c r="D951" s="31">
        <f t="shared" si="243"/>
        <v>10.850999999999999</v>
      </c>
      <c r="E951" s="52">
        <v>28588</v>
      </c>
      <c r="F951" s="31">
        <v>1.1499999999999999</v>
      </c>
      <c r="G951" s="31">
        <v>1.22</v>
      </c>
      <c r="H951" s="31">
        <v>1.25</v>
      </c>
      <c r="I951" s="31">
        <v>1.3</v>
      </c>
      <c r="J951" s="31">
        <v>1.0777000000000001</v>
      </c>
      <c r="K951" s="52">
        <f t="shared" si="195"/>
        <v>70241.324567049989</v>
      </c>
      <c r="L951" s="52">
        <f t="shared" si="240"/>
        <v>632171.92110344989</v>
      </c>
    </row>
    <row r="952" spans="1:12" ht="30" customHeight="1" x14ac:dyDescent="0.2">
      <c r="A952" s="27" t="s">
        <v>3439</v>
      </c>
      <c r="B952" s="27" t="s">
        <v>2260</v>
      </c>
      <c r="C952" s="27"/>
      <c r="D952" s="31">
        <f t="shared" ref="D952:D953" si="244">D951+1.05</f>
        <v>11.901</v>
      </c>
      <c r="E952" s="52">
        <v>28588</v>
      </c>
      <c r="F952" s="31">
        <v>1.1499999999999999</v>
      </c>
      <c r="G952" s="31">
        <v>1.22</v>
      </c>
      <c r="H952" s="31">
        <v>1.25</v>
      </c>
      <c r="I952" s="31">
        <v>1.3</v>
      </c>
      <c r="J952" s="31">
        <v>1.0777000000000001</v>
      </c>
      <c r="K952" s="52">
        <f t="shared" si="195"/>
        <v>70241.324567049989</v>
      </c>
      <c r="L952" s="52">
        <f t="shared" si="240"/>
        <v>702413.24567049986</v>
      </c>
    </row>
    <row r="953" spans="1:12" ht="30" customHeight="1" x14ac:dyDescent="0.2">
      <c r="A953" s="27" t="s">
        <v>3440</v>
      </c>
      <c r="B953" s="27" t="s">
        <v>2297</v>
      </c>
      <c r="C953" s="27"/>
      <c r="D953" s="31">
        <f t="shared" si="244"/>
        <v>12.951000000000001</v>
      </c>
      <c r="E953" s="52">
        <v>28588</v>
      </c>
      <c r="F953" s="31">
        <v>1.1499999999999999</v>
      </c>
      <c r="G953" s="31">
        <v>1.22</v>
      </c>
      <c r="H953" s="31">
        <v>1.25</v>
      </c>
      <c r="I953" s="31">
        <v>1.3</v>
      </c>
      <c r="J953" s="31">
        <v>1.0777000000000001</v>
      </c>
      <c r="K953" s="52">
        <f t="shared" si="195"/>
        <v>70241.324567049989</v>
      </c>
      <c r="L953" s="52">
        <f t="shared" si="240"/>
        <v>772654.57023754984</v>
      </c>
    </row>
    <row r="954" spans="1:12" ht="30" customHeight="1" x14ac:dyDescent="0.2">
      <c r="A954" s="27" t="s">
        <v>3441</v>
      </c>
      <c r="B954" s="27" t="s">
        <v>2264</v>
      </c>
      <c r="C954" s="27"/>
      <c r="D954" s="31">
        <f t="shared" ref="D954:D955" si="245">D953+1.617</f>
        <v>14.568000000000001</v>
      </c>
      <c r="E954" s="52">
        <v>28588</v>
      </c>
      <c r="F954" s="31">
        <v>1.1499999999999999</v>
      </c>
      <c r="G954" s="31">
        <v>1.22</v>
      </c>
      <c r="H954" s="31">
        <v>1.25</v>
      </c>
      <c r="I954" s="31">
        <v>1.3</v>
      </c>
      <c r="J954" s="31">
        <v>1.0777000000000001</v>
      </c>
      <c r="K954" s="52">
        <f t="shared" si="195"/>
        <v>70241.324567049989</v>
      </c>
      <c r="L954" s="52">
        <f t="shared" si="240"/>
        <v>842895.89480459981</v>
      </c>
    </row>
    <row r="955" spans="1:12" ht="30" customHeight="1" x14ac:dyDescent="0.2">
      <c r="A955" s="27" t="s">
        <v>3442</v>
      </c>
      <c r="B955" s="27" t="s">
        <v>2266</v>
      </c>
      <c r="C955" s="27"/>
      <c r="D955" s="31">
        <f t="shared" si="245"/>
        <v>16.185000000000002</v>
      </c>
      <c r="E955" s="52">
        <v>28588</v>
      </c>
      <c r="F955" s="31">
        <v>1.1499999999999999</v>
      </c>
      <c r="G955" s="31">
        <v>1.22</v>
      </c>
      <c r="H955" s="31">
        <v>1.25</v>
      </c>
      <c r="I955" s="31">
        <v>1.3</v>
      </c>
      <c r="J955" s="31">
        <v>1.0777000000000001</v>
      </c>
      <c r="K955" s="52">
        <f t="shared" si="195"/>
        <v>70241.324567049989</v>
      </c>
      <c r="L955" s="52">
        <f t="shared" si="240"/>
        <v>913137.21937164979</v>
      </c>
    </row>
    <row r="956" spans="1:12" ht="30" customHeight="1" x14ac:dyDescent="0.2">
      <c r="A956" s="27" t="s">
        <v>3443</v>
      </c>
      <c r="B956" s="27" t="s">
        <v>2268</v>
      </c>
      <c r="C956" s="27"/>
      <c r="D956" s="31">
        <f t="shared" ref="D956:D957" si="246">D955+1.05</f>
        <v>17.235000000000003</v>
      </c>
      <c r="E956" s="52">
        <v>28588</v>
      </c>
      <c r="F956" s="31">
        <v>1.1499999999999999</v>
      </c>
      <c r="G956" s="31">
        <v>1.22</v>
      </c>
      <c r="H956" s="31">
        <v>1.25</v>
      </c>
      <c r="I956" s="31">
        <v>1.3</v>
      </c>
      <c r="J956" s="31">
        <v>1.0777000000000001</v>
      </c>
      <c r="K956" s="52">
        <f t="shared" si="195"/>
        <v>70241.324567049989</v>
      </c>
      <c r="L956" s="52">
        <f t="shared" si="240"/>
        <v>983378.54393869976</v>
      </c>
    </row>
    <row r="957" spans="1:12" ht="30" customHeight="1" x14ac:dyDescent="0.2">
      <c r="A957" s="27" t="s">
        <v>3444</v>
      </c>
      <c r="B957" s="27" t="s">
        <v>2270</v>
      </c>
      <c r="C957" s="27"/>
      <c r="D957" s="31">
        <f t="shared" si="246"/>
        <v>18.285000000000004</v>
      </c>
      <c r="E957" s="52">
        <v>28588</v>
      </c>
      <c r="F957" s="31">
        <v>1.1499999999999999</v>
      </c>
      <c r="G957" s="31">
        <v>1.22</v>
      </c>
      <c r="H957" s="31">
        <v>1.25</v>
      </c>
      <c r="I957" s="31">
        <v>1.3</v>
      </c>
      <c r="J957" s="31">
        <v>1.0777000000000001</v>
      </c>
      <c r="K957" s="52">
        <f t="shared" si="195"/>
        <v>70241.324567049989</v>
      </c>
      <c r="L957" s="52">
        <f t="shared" si="240"/>
        <v>1053619.8685057499</v>
      </c>
    </row>
    <row r="958" spans="1:12" ht="30" customHeight="1" x14ac:dyDescent="0.2">
      <c r="A958" s="27" t="s">
        <v>3445</v>
      </c>
      <c r="B958" s="27" t="s">
        <v>2303</v>
      </c>
      <c r="C958" s="27"/>
      <c r="D958" s="31">
        <f t="shared" ref="D958:D959" si="247">D957+1.617</f>
        <v>19.902000000000005</v>
      </c>
      <c r="E958" s="52">
        <v>28588</v>
      </c>
      <c r="F958" s="31">
        <v>1.1499999999999999</v>
      </c>
      <c r="G958" s="31">
        <v>1.22</v>
      </c>
      <c r="H958" s="31">
        <v>1.25</v>
      </c>
      <c r="I958" s="31">
        <v>1.3</v>
      </c>
      <c r="J958" s="31">
        <v>1.0777000000000001</v>
      </c>
      <c r="K958" s="52">
        <f t="shared" si="195"/>
        <v>70241.324567049989</v>
      </c>
      <c r="L958" s="52">
        <f t="shared" si="240"/>
        <v>1123861.1930727998</v>
      </c>
    </row>
    <row r="959" spans="1:12" ht="30" customHeight="1" x14ac:dyDescent="0.2">
      <c r="A959" s="27" t="s">
        <v>3446</v>
      </c>
      <c r="B959" s="27" t="s">
        <v>2274</v>
      </c>
      <c r="C959" s="27"/>
      <c r="D959" s="31">
        <f t="shared" si="247"/>
        <v>21.519000000000005</v>
      </c>
      <c r="E959" s="52">
        <v>28588</v>
      </c>
      <c r="F959" s="31">
        <v>1.1499999999999999</v>
      </c>
      <c r="G959" s="31">
        <v>1.22</v>
      </c>
      <c r="H959" s="31">
        <v>1.25</v>
      </c>
      <c r="I959" s="31">
        <v>1.3</v>
      </c>
      <c r="J959" s="31">
        <v>1.0777000000000001</v>
      </c>
      <c r="K959" s="52">
        <f t="shared" si="195"/>
        <v>70241.324567049989</v>
      </c>
      <c r="L959" s="52">
        <f t="shared" si="240"/>
        <v>1194102.5176398498</v>
      </c>
    </row>
    <row r="960" spans="1:12" ht="30" customHeight="1" x14ac:dyDescent="0.2">
      <c r="A960" s="27" t="s">
        <v>3447</v>
      </c>
      <c r="B960" s="27" t="s">
        <v>2276</v>
      </c>
      <c r="C960" s="27"/>
      <c r="D960" s="31">
        <f t="shared" ref="D960:D961" si="248">D959+1.05</f>
        <v>22.569000000000006</v>
      </c>
      <c r="E960" s="52">
        <v>28588</v>
      </c>
      <c r="F960" s="31">
        <v>1.1499999999999999</v>
      </c>
      <c r="G960" s="31">
        <v>1.22</v>
      </c>
      <c r="H960" s="31">
        <v>1.25</v>
      </c>
      <c r="I960" s="31">
        <v>1.3</v>
      </c>
      <c r="J960" s="31">
        <v>1.0777000000000001</v>
      </c>
      <c r="K960" s="52">
        <f t="shared" si="195"/>
        <v>70241.324567049989</v>
      </c>
      <c r="L960" s="52">
        <f t="shared" si="240"/>
        <v>1264343.8422068998</v>
      </c>
    </row>
    <row r="961" spans="1:12" ht="30" customHeight="1" x14ac:dyDescent="0.2">
      <c r="A961" s="27" t="s">
        <v>3448</v>
      </c>
      <c r="B961" s="27" t="s">
        <v>2278</v>
      </c>
      <c r="C961" s="27"/>
      <c r="D961" s="31">
        <f t="shared" si="248"/>
        <v>23.619000000000007</v>
      </c>
      <c r="E961" s="52">
        <v>28588</v>
      </c>
      <c r="F961" s="31">
        <v>1.1499999999999999</v>
      </c>
      <c r="G961" s="31">
        <v>1.22</v>
      </c>
      <c r="H961" s="31">
        <v>1.25</v>
      </c>
      <c r="I961" s="31">
        <v>1.3</v>
      </c>
      <c r="J961" s="31">
        <v>1.0777000000000001</v>
      </c>
      <c r="K961" s="52">
        <f t="shared" si="195"/>
        <v>70241.324567049989</v>
      </c>
      <c r="L961" s="52">
        <f t="shared" si="240"/>
        <v>1334585.1667739497</v>
      </c>
    </row>
    <row r="962" spans="1:12" ht="30" customHeight="1" x14ac:dyDescent="0.2">
      <c r="A962" s="27" t="s">
        <v>3449</v>
      </c>
      <c r="B962" s="27" t="s">
        <v>2280</v>
      </c>
      <c r="C962" s="27"/>
      <c r="D962" s="31">
        <f t="shared" ref="D962:D963" si="249">D961+1.617</f>
        <v>25.236000000000008</v>
      </c>
      <c r="E962" s="52">
        <v>28588</v>
      </c>
      <c r="F962" s="31">
        <v>1.1499999999999999</v>
      </c>
      <c r="G962" s="31">
        <v>1.22</v>
      </c>
      <c r="H962" s="31">
        <v>1.25</v>
      </c>
      <c r="I962" s="31">
        <v>1.3</v>
      </c>
      <c r="J962" s="31">
        <v>1.0777000000000001</v>
      </c>
      <c r="K962" s="52">
        <f t="shared" si="195"/>
        <v>70241.324567049989</v>
      </c>
      <c r="L962" s="52">
        <f t="shared" si="240"/>
        <v>1404826.4913409997</v>
      </c>
    </row>
    <row r="963" spans="1:12" ht="30" customHeight="1" x14ac:dyDescent="0.2">
      <c r="A963" s="27" t="s">
        <v>3450</v>
      </c>
      <c r="B963" s="27" t="s">
        <v>2309</v>
      </c>
      <c r="C963" s="27"/>
      <c r="D963" s="31">
        <f t="shared" si="249"/>
        <v>26.853000000000009</v>
      </c>
      <c r="E963" s="52">
        <v>28588</v>
      </c>
      <c r="F963" s="31">
        <v>1.1499999999999999</v>
      </c>
      <c r="G963" s="31">
        <v>1.22</v>
      </c>
      <c r="H963" s="31">
        <v>1.25</v>
      </c>
      <c r="I963" s="31">
        <v>1.3</v>
      </c>
      <c r="J963" s="31">
        <v>1.0777000000000001</v>
      </c>
      <c r="K963" s="52">
        <f t="shared" si="195"/>
        <v>70241.324567049989</v>
      </c>
      <c r="L963" s="52">
        <f t="shared" si="240"/>
        <v>1475067.8159080497</v>
      </c>
    </row>
    <row r="964" spans="1:12" ht="30" customHeight="1" x14ac:dyDescent="0.2">
      <c r="A964" s="27" t="s">
        <v>3451</v>
      </c>
      <c r="B964" s="27" t="s">
        <v>2242</v>
      </c>
      <c r="C964" s="27"/>
      <c r="D964" s="31">
        <v>10.166</v>
      </c>
      <c r="E964" s="52">
        <v>87799</v>
      </c>
      <c r="F964" s="31"/>
      <c r="G964" s="31">
        <v>1.22</v>
      </c>
      <c r="H964" s="31">
        <v>1.25</v>
      </c>
      <c r="I964" s="31">
        <v>1.3</v>
      </c>
      <c r="J964" s="31"/>
      <c r="K964" s="52">
        <f t="shared" si="195"/>
        <v>174061.51750000002</v>
      </c>
      <c r="L964" s="52">
        <f>K964</f>
        <v>174061.51750000002</v>
      </c>
    </row>
    <row r="965" spans="1:12" ht="30" customHeight="1" x14ac:dyDescent="0.2">
      <c r="A965" s="27" t="s">
        <v>3452</v>
      </c>
      <c r="B965" s="27" t="s">
        <v>2244</v>
      </c>
      <c r="C965" s="27"/>
      <c r="D965" s="31">
        <f t="shared" ref="D965:D986" si="250">D964+9.85</f>
        <v>20.015999999999998</v>
      </c>
      <c r="E965" s="52">
        <v>87799</v>
      </c>
      <c r="F965" s="31"/>
      <c r="G965" s="31">
        <v>1.22</v>
      </c>
      <c r="H965" s="31">
        <v>1.25</v>
      </c>
      <c r="I965" s="31">
        <v>1.3</v>
      </c>
      <c r="J965" s="31"/>
      <c r="K965" s="52">
        <f t="shared" si="195"/>
        <v>174061.51750000002</v>
      </c>
      <c r="L965" s="52">
        <f t="shared" ref="L965:L986" si="251">K965+L964</f>
        <v>348123.03500000003</v>
      </c>
    </row>
    <row r="966" spans="1:12" ht="30" customHeight="1" x14ac:dyDescent="0.2">
      <c r="A966" s="27" t="s">
        <v>3453</v>
      </c>
      <c r="B966" s="27" t="s">
        <v>2246</v>
      </c>
      <c r="C966" s="27"/>
      <c r="D966" s="31">
        <f t="shared" si="250"/>
        <v>29.866</v>
      </c>
      <c r="E966" s="52">
        <v>87799</v>
      </c>
      <c r="F966" s="31"/>
      <c r="G966" s="31">
        <v>1.22</v>
      </c>
      <c r="H966" s="31">
        <v>1.25</v>
      </c>
      <c r="I966" s="31">
        <v>1.3</v>
      </c>
      <c r="J966" s="31"/>
      <c r="K966" s="52">
        <f t="shared" si="195"/>
        <v>174061.51750000002</v>
      </c>
      <c r="L966" s="52">
        <f t="shared" si="251"/>
        <v>522184.55250000005</v>
      </c>
    </row>
    <row r="967" spans="1:12" ht="30" customHeight="1" x14ac:dyDescent="0.2">
      <c r="A967" s="27" t="s">
        <v>3454</v>
      </c>
      <c r="B967" s="27" t="s">
        <v>2248</v>
      </c>
      <c r="C967" s="27"/>
      <c r="D967" s="31">
        <f t="shared" si="250"/>
        <v>39.716000000000001</v>
      </c>
      <c r="E967" s="52">
        <v>87799</v>
      </c>
      <c r="F967" s="31"/>
      <c r="G967" s="31">
        <v>1.22</v>
      </c>
      <c r="H967" s="31">
        <v>1.25</v>
      </c>
      <c r="I967" s="31">
        <v>1.3</v>
      </c>
      <c r="J967" s="31"/>
      <c r="K967" s="52">
        <f t="shared" si="195"/>
        <v>174061.51750000002</v>
      </c>
      <c r="L967" s="52">
        <f t="shared" si="251"/>
        <v>696246.07000000007</v>
      </c>
    </row>
    <row r="968" spans="1:12" ht="30" customHeight="1" x14ac:dyDescent="0.2">
      <c r="A968" s="27" t="s">
        <v>3455</v>
      </c>
      <c r="B968" s="27" t="s">
        <v>2250</v>
      </c>
      <c r="C968" s="27"/>
      <c r="D968" s="31">
        <f t="shared" si="250"/>
        <v>49.566000000000003</v>
      </c>
      <c r="E968" s="52">
        <v>87799</v>
      </c>
      <c r="F968" s="31"/>
      <c r="G968" s="31">
        <v>1.22</v>
      </c>
      <c r="H968" s="31">
        <v>1.25</v>
      </c>
      <c r="I968" s="31">
        <v>1.3</v>
      </c>
      <c r="J968" s="31"/>
      <c r="K968" s="52">
        <f t="shared" si="195"/>
        <v>174061.51750000002</v>
      </c>
      <c r="L968" s="52">
        <f t="shared" si="251"/>
        <v>870307.58750000014</v>
      </c>
    </row>
    <row r="969" spans="1:12" ht="30" customHeight="1" x14ac:dyDescent="0.2">
      <c r="A969" s="27" t="s">
        <v>3456</v>
      </c>
      <c r="B969" s="27" t="s">
        <v>2291</v>
      </c>
      <c r="C969" s="27"/>
      <c r="D969" s="31">
        <f t="shared" si="250"/>
        <v>59.416000000000004</v>
      </c>
      <c r="E969" s="52">
        <v>87799</v>
      </c>
      <c r="F969" s="31"/>
      <c r="G969" s="31">
        <v>1.22</v>
      </c>
      <c r="H969" s="31">
        <v>1.25</v>
      </c>
      <c r="I969" s="31">
        <v>1.3</v>
      </c>
      <c r="J969" s="31"/>
      <c r="K969" s="52">
        <f t="shared" si="195"/>
        <v>174061.51750000002</v>
      </c>
      <c r="L969" s="52">
        <f t="shared" si="251"/>
        <v>1044369.1050000002</v>
      </c>
    </row>
    <row r="970" spans="1:12" ht="30" customHeight="1" x14ac:dyDescent="0.2">
      <c r="A970" s="27" t="s">
        <v>3457</v>
      </c>
      <c r="B970" s="27" t="s">
        <v>2254</v>
      </c>
      <c r="C970" s="27"/>
      <c r="D970" s="31">
        <f t="shared" si="250"/>
        <v>69.266000000000005</v>
      </c>
      <c r="E970" s="52">
        <v>87799</v>
      </c>
      <c r="F970" s="31"/>
      <c r="G970" s="31">
        <v>1.22</v>
      </c>
      <c r="H970" s="31">
        <v>1.25</v>
      </c>
      <c r="I970" s="31">
        <v>1.3</v>
      </c>
      <c r="J970" s="31"/>
      <c r="K970" s="52">
        <f t="shared" si="195"/>
        <v>174061.51750000002</v>
      </c>
      <c r="L970" s="52">
        <f t="shared" si="251"/>
        <v>1218430.6225000003</v>
      </c>
    </row>
    <row r="971" spans="1:12" ht="30" customHeight="1" x14ac:dyDescent="0.2">
      <c r="A971" s="27" t="s">
        <v>3458</v>
      </c>
      <c r="B971" s="27" t="s">
        <v>2256</v>
      </c>
      <c r="C971" s="27"/>
      <c r="D971" s="31">
        <f t="shared" si="250"/>
        <v>79.116</v>
      </c>
      <c r="E971" s="52">
        <v>87799</v>
      </c>
      <c r="F971" s="31"/>
      <c r="G971" s="31">
        <v>1.22</v>
      </c>
      <c r="H971" s="31">
        <v>1.25</v>
      </c>
      <c r="I971" s="31">
        <v>1.3</v>
      </c>
      <c r="J971" s="31"/>
      <c r="K971" s="52">
        <f t="shared" si="195"/>
        <v>174061.51750000002</v>
      </c>
      <c r="L971" s="52">
        <f t="shared" si="251"/>
        <v>1392492.1400000004</v>
      </c>
    </row>
    <row r="972" spans="1:12" ht="30" customHeight="1" x14ac:dyDescent="0.2">
      <c r="A972" s="27" t="s">
        <v>3459</v>
      </c>
      <c r="B972" s="27" t="s">
        <v>2258</v>
      </c>
      <c r="C972" s="27"/>
      <c r="D972" s="31">
        <f t="shared" si="250"/>
        <v>88.965999999999994</v>
      </c>
      <c r="E972" s="52">
        <v>87799</v>
      </c>
      <c r="F972" s="31"/>
      <c r="G972" s="31">
        <v>1.22</v>
      </c>
      <c r="H972" s="31">
        <v>1.25</v>
      </c>
      <c r="I972" s="31">
        <v>1.3</v>
      </c>
      <c r="J972" s="31"/>
      <c r="K972" s="52">
        <f t="shared" si="195"/>
        <v>174061.51750000002</v>
      </c>
      <c r="L972" s="52">
        <f t="shared" si="251"/>
        <v>1566553.6575000004</v>
      </c>
    </row>
    <row r="973" spans="1:12" ht="30" customHeight="1" x14ac:dyDescent="0.2">
      <c r="A973" s="27" t="s">
        <v>3460</v>
      </c>
      <c r="B973" s="27" t="s">
        <v>2260</v>
      </c>
      <c r="C973" s="27"/>
      <c r="D973" s="31">
        <f t="shared" si="250"/>
        <v>98.815999999999988</v>
      </c>
      <c r="E973" s="52">
        <v>87799</v>
      </c>
      <c r="F973" s="31"/>
      <c r="G973" s="31">
        <v>1.22</v>
      </c>
      <c r="H973" s="31">
        <v>1.25</v>
      </c>
      <c r="I973" s="31">
        <v>1.3</v>
      </c>
      <c r="J973" s="31"/>
      <c r="K973" s="52">
        <f t="shared" si="195"/>
        <v>174061.51750000002</v>
      </c>
      <c r="L973" s="52">
        <f t="shared" si="251"/>
        <v>1740615.1750000005</v>
      </c>
    </row>
    <row r="974" spans="1:12" ht="30" customHeight="1" x14ac:dyDescent="0.2">
      <c r="A974" s="27" t="s">
        <v>3461</v>
      </c>
      <c r="B974" s="27" t="s">
        <v>2297</v>
      </c>
      <c r="C974" s="27"/>
      <c r="D974" s="31">
        <f t="shared" si="250"/>
        <v>108.66599999999998</v>
      </c>
      <c r="E974" s="52">
        <v>87799</v>
      </c>
      <c r="F974" s="31"/>
      <c r="G974" s="31">
        <v>1.22</v>
      </c>
      <c r="H974" s="31">
        <v>1.25</v>
      </c>
      <c r="I974" s="31">
        <v>1.3</v>
      </c>
      <c r="J974" s="31"/>
      <c r="K974" s="52">
        <f t="shared" si="195"/>
        <v>174061.51750000002</v>
      </c>
      <c r="L974" s="52">
        <f t="shared" si="251"/>
        <v>1914676.6925000006</v>
      </c>
    </row>
    <row r="975" spans="1:12" ht="30" customHeight="1" x14ac:dyDescent="0.2">
      <c r="A975" s="27" t="s">
        <v>3462</v>
      </c>
      <c r="B975" s="27" t="s">
        <v>2264</v>
      </c>
      <c r="C975" s="27"/>
      <c r="D975" s="31">
        <f t="shared" si="250"/>
        <v>118.51599999999998</v>
      </c>
      <c r="E975" s="52">
        <v>87799</v>
      </c>
      <c r="F975" s="31"/>
      <c r="G975" s="31">
        <v>1.22</v>
      </c>
      <c r="H975" s="31">
        <v>1.25</v>
      </c>
      <c r="I975" s="31">
        <v>1.3</v>
      </c>
      <c r="J975" s="31"/>
      <c r="K975" s="52">
        <f t="shared" si="195"/>
        <v>174061.51750000002</v>
      </c>
      <c r="L975" s="52">
        <f t="shared" si="251"/>
        <v>2088738.2100000007</v>
      </c>
    </row>
    <row r="976" spans="1:12" ht="30" customHeight="1" x14ac:dyDescent="0.2">
      <c r="A976" s="27" t="s">
        <v>3463</v>
      </c>
      <c r="B976" s="27" t="s">
        <v>2266</v>
      </c>
      <c r="C976" s="27"/>
      <c r="D976" s="31">
        <f t="shared" si="250"/>
        <v>128.36599999999999</v>
      </c>
      <c r="E976" s="52">
        <v>87799</v>
      </c>
      <c r="F976" s="31"/>
      <c r="G976" s="31">
        <v>1.22</v>
      </c>
      <c r="H976" s="31">
        <v>1.25</v>
      </c>
      <c r="I976" s="31">
        <v>1.3</v>
      </c>
      <c r="J976" s="31"/>
      <c r="K976" s="52">
        <f t="shared" si="195"/>
        <v>174061.51750000002</v>
      </c>
      <c r="L976" s="52">
        <f t="shared" si="251"/>
        <v>2262799.7275000005</v>
      </c>
    </row>
    <row r="977" spans="1:12" ht="30" customHeight="1" x14ac:dyDescent="0.2">
      <c r="A977" s="27" t="s">
        <v>3464</v>
      </c>
      <c r="B977" s="27" t="s">
        <v>2268</v>
      </c>
      <c r="C977" s="27"/>
      <c r="D977" s="31">
        <f t="shared" si="250"/>
        <v>138.21599999999998</v>
      </c>
      <c r="E977" s="52">
        <v>87799</v>
      </c>
      <c r="F977" s="31"/>
      <c r="G977" s="31">
        <v>1.22</v>
      </c>
      <c r="H977" s="31">
        <v>1.25</v>
      </c>
      <c r="I977" s="31">
        <v>1.3</v>
      </c>
      <c r="J977" s="31"/>
      <c r="K977" s="52">
        <f t="shared" si="195"/>
        <v>174061.51750000002</v>
      </c>
      <c r="L977" s="52">
        <f t="shared" si="251"/>
        <v>2436861.2450000006</v>
      </c>
    </row>
    <row r="978" spans="1:12" ht="30" customHeight="1" x14ac:dyDescent="0.2">
      <c r="A978" s="27" t="s">
        <v>3465</v>
      </c>
      <c r="B978" s="27" t="s">
        <v>2270</v>
      </c>
      <c r="C978" s="27"/>
      <c r="D978" s="31">
        <f t="shared" si="250"/>
        <v>148.06599999999997</v>
      </c>
      <c r="E978" s="52">
        <v>87799</v>
      </c>
      <c r="F978" s="31"/>
      <c r="G978" s="31">
        <v>1.22</v>
      </c>
      <c r="H978" s="31">
        <v>1.25</v>
      </c>
      <c r="I978" s="31">
        <v>1.3</v>
      </c>
      <c r="J978" s="31"/>
      <c r="K978" s="52">
        <f t="shared" si="195"/>
        <v>174061.51750000002</v>
      </c>
      <c r="L978" s="52">
        <f t="shared" si="251"/>
        <v>2610922.7625000007</v>
      </c>
    </row>
    <row r="979" spans="1:12" ht="30" customHeight="1" x14ac:dyDescent="0.2">
      <c r="A979" s="27" t="s">
        <v>3466</v>
      </c>
      <c r="B979" s="27" t="s">
        <v>2303</v>
      </c>
      <c r="C979" s="27"/>
      <c r="D979" s="31">
        <f t="shared" si="250"/>
        <v>157.91599999999997</v>
      </c>
      <c r="E979" s="52">
        <v>87799</v>
      </c>
      <c r="F979" s="31"/>
      <c r="G979" s="31">
        <v>1.22</v>
      </c>
      <c r="H979" s="31">
        <v>1.25</v>
      </c>
      <c r="I979" s="31">
        <v>1.3</v>
      </c>
      <c r="J979" s="31"/>
      <c r="K979" s="52">
        <f t="shared" si="195"/>
        <v>174061.51750000002</v>
      </c>
      <c r="L979" s="52">
        <f t="shared" si="251"/>
        <v>2784984.2800000007</v>
      </c>
    </row>
    <row r="980" spans="1:12" ht="30" customHeight="1" x14ac:dyDescent="0.2">
      <c r="A980" s="27" t="s">
        <v>3467</v>
      </c>
      <c r="B980" s="27" t="s">
        <v>2274</v>
      </c>
      <c r="C980" s="27"/>
      <c r="D980" s="31">
        <f t="shared" si="250"/>
        <v>167.76599999999996</v>
      </c>
      <c r="E980" s="52">
        <v>87799</v>
      </c>
      <c r="F980" s="31"/>
      <c r="G980" s="31">
        <v>1.22</v>
      </c>
      <c r="H980" s="31">
        <v>1.25</v>
      </c>
      <c r="I980" s="31">
        <v>1.3</v>
      </c>
      <c r="J980" s="31"/>
      <c r="K980" s="52">
        <f t="shared" si="195"/>
        <v>174061.51750000002</v>
      </c>
      <c r="L980" s="52">
        <f t="shared" si="251"/>
        <v>2959045.7975000008</v>
      </c>
    </row>
    <row r="981" spans="1:12" ht="30" customHeight="1" x14ac:dyDescent="0.2">
      <c r="A981" s="27" t="s">
        <v>3468</v>
      </c>
      <c r="B981" s="27" t="s">
        <v>2276</v>
      </c>
      <c r="C981" s="27"/>
      <c r="D981" s="31">
        <f t="shared" si="250"/>
        <v>177.61599999999996</v>
      </c>
      <c r="E981" s="52">
        <v>87799</v>
      </c>
      <c r="F981" s="31"/>
      <c r="G981" s="31">
        <v>1.22</v>
      </c>
      <c r="H981" s="31">
        <v>1.25</v>
      </c>
      <c r="I981" s="31">
        <v>1.3</v>
      </c>
      <c r="J981" s="31"/>
      <c r="K981" s="52">
        <f t="shared" si="195"/>
        <v>174061.51750000002</v>
      </c>
      <c r="L981" s="52">
        <f t="shared" si="251"/>
        <v>3133107.3150000009</v>
      </c>
    </row>
    <row r="982" spans="1:12" ht="30" customHeight="1" x14ac:dyDescent="0.2">
      <c r="A982" s="27" t="s">
        <v>3469</v>
      </c>
      <c r="B982" s="27" t="s">
        <v>2278</v>
      </c>
      <c r="C982" s="27"/>
      <c r="D982" s="31">
        <f t="shared" si="250"/>
        <v>187.46599999999995</v>
      </c>
      <c r="E982" s="52">
        <v>87799</v>
      </c>
      <c r="F982" s="31"/>
      <c r="G982" s="31">
        <v>1.22</v>
      </c>
      <c r="H982" s="31">
        <v>1.25</v>
      </c>
      <c r="I982" s="31">
        <v>1.3</v>
      </c>
      <c r="J982" s="31"/>
      <c r="K982" s="52">
        <f t="shared" si="195"/>
        <v>174061.51750000002</v>
      </c>
      <c r="L982" s="52">
        <f t="shared" si="251"/>
        <v>3307168.8325000009</v>
      </c>
    </row>
    <row r="983" spans="1:12" ht="30" customHeight="1" x14ac:dyDescent="0.2">
      <c r="A983" s="27" t="s">
        <v>3470</v>
      </c>
      <c r="B983" s="27" t="s">
        <v>2280</v>
      </c>
      <c r="C983" s="27"/>
      <c r="D983" s="31">
        <f t="shared" si="250"/>
        <v>197.31599999999995</v>
      </c>
      <c r="E983" s="52">
        <v>87799</v>
      </c>
      <c r="F983" s="31"/>
      <c r="G983" s="31">
        <v>1.22</v>
      </c>
      <c r="H983" s="31">
        <v>1.25</v>
      </c>
      <c r="I983" s="31">
        <v>1.3</v>
      </c>
      <c r="J983" s="31"/>
      <c r="K983" s="52">
        <f t="shared" si="195"/>
        <v>174061.51750000002</v>
      </c>
      <c r="L983" s="52">
        <f t="shared" si="251"/>
        <v>3481230.350000001</v>
      </c>
    </row>
    <row r="984" spans="1:12" ht="30" customHeight="1" x14ac:dyDescent="0.2">
      <c r="A984" s="27" t="s">
        <v>3471</v>
      </c>
      <c r="B984" s="27" t="s">
        <v>2309</v>
      </c>
      <c r="C984" s="27"/>
      <c r="D984" s="31">
        <f t="shared" si="250"/>
        <v>207.16599999999994</v>
      </c>
      <c r="E984" s="52">
        <v>87799</v>
      </c>
      <c r="F984" s="31"/>
      <c r="G984" s="31">
        <v>1.22</v>
      </c>
      <c r="H984" s="31">
        <v>1.25</v>
      </c>
      <c r="I984" s="31">
        <v>1.3</v>
      </c>
      <c r="J984" s="31"/>
      <c r="K984" s="52">
        <f t="shared" si="195"/>
        <v>174061.51750000002</v>
      </c>
      <c r="L984" s="52">
        <f t="shared" si="251"/>
        <v>3655291.8675000011</v>
      </c>
    </row>
    <row r="985" spans="1:12" ht="30" customHeight="1" x14ac:dyDescent="0.2">
      <c r="A985" s="27" t="s">
        <v>3472</v>
      </c>
      <c r="B985" s="27" t="s">
        <v>2284</v>
      </c>
      <c r="C985" s="27"/>
      <c r="D985" s="31">
        <f t="shared" si="250"/>
        <v>217.01599999999993</v>
      </c>
      <c r="E985" s="52">
        <v>87799</v>
      </c>
      <c r="F985" s="31"/>
      <c r="G985" s="31">
        <v>1.22</v>
      </c>
      <c r="H985" s="31">
        <v>1.25</v>
      </c>
      <c r="I985" s="31">
        <v>1.3</v>
      </c>
      <c r="J985" s="31"/>
      <c r="K985" s="52">
        <f t="shared" si="195"/>
        <v>174061.51750000002</v>
      </c>
      <c r="L985" s="52">
        <f t="shared" si="251"/>
        <v>3829353.3850000012</v>
      </c>
    </row>
    <row r="986" spans="1:12" ht="30" customHeight="1" x14ac:dyDescent="0.2">
      <c r="A986" s="27" t="s">
        <v>3473</v>
      </c>
      <c r="B986" s="27" t="s">
        <v>2424</v>
      </c>
      <c r="C986" s="27"/>
      <c r="D986" s="31">
        <f t="shared" si="250"/>
        <v>226.86599999999993</v>
      </c>
      <c r="E986" s="52">
        <v>87799</v>
      </c>
      <c r="F986" s="31"/>
      <c r="G986" s="31">
        <v>1.22</v>
      </c>
      <c r="H986" s="31">
        <v>1.25</v>
      </c>
      <c r="I986" s="31">
        <v>1.3</v>
      </c>
      <c r="J986" s="31"/>
      <c r="K986" s="52">
        <f t="shared" ref="K986:K1043" si="252">PRODUCT(E986:J986)</f>
        <v>174061.51750000002</v>
      </c>
      <c r="L986" s="52">
        <f t="shared" si="251"/>
        <v>4003414.9025000012</v>
      </c>
    </row>
    <row r="987" spans="1:12" ht="30" customHeight="1" x14ac:dyDescent="0.2">
      <c r="A987" s="27" t="s">
        <v>3474</v>
      </c>
      <c r="B987" s="27" t="s">
        <v>2242</v>
      </c>
      <c r="C987" s="27"/>
      <c r="D987" s="31">
        <v>5.0659999999999998</v>
      </c>
      <c r="E987" s="52">
        <v>43078</v>
      </c>
      <c r="F987" s="31"/>
      <c r="G987" s="31">
        <v>1.22</v>
      </c>
      <c r="H987" s="31">
        <v>1.25</v>
      </c>
      <c r="I987" s="31">
        <v>1.3</v>
      </c>
      <c r="J987" s="31"/>
      <c r="K987" s="52">
        <f t="shared" si="252"/>
        <v>85402.134999999995</v>
      </c>
      <c r="L987" s="52">
        <f>K987</f>
        <v>85402.134999999995</v>
      </c>
    </row>
    <row r="988" spans="1:12" ht="30" customHeight="1" x14ac:dyDescent="0.2">
      <c r="A988" s="27" t="s">
        <v>3475</v>
      </c>
      <c r="B988" s="27" t="s">
        <v>2244</v>
      </c>
      <c r="C988" s="27"/>
      <c r="D988" s="31">
        <f t="shared" ref="D988:D1009" si="253">D987+4.733</f>
        <v>9.7989999999999995</v>
      </c>
      <c r="E988" s="52">
        <v>43078</v>
      </c>
      <c r="F988" s="31"/>
      <c r="G988" s="31">
        <v>1.22</v>
      </c>
      <c r="H988" s="31">
        <v>1.25</v>
      </c>
      <c r="I988" s="31">
        <v>1.3</v>
      </c>
      <c r="J988" s="31"/>
      <c r="K988" s="52">
        <f t="shared" si="252"/>
        <v>85402.134999999995</v>
      </c>
      <c r="L988" s="52">
        <f t="shared" ref="L988:L1009" si="254">K988+L987</f>
        <v>170804.27</v>
      </c>
    </row>
    <row r="989" spans="1:12" ht="30" customHeight="1" x14ac:dyDescent="0.2">
      <c r="A989" s="27" t="s">
        <v>3476</v>
      </c>
      <c r="B989" s="27" t="s">
        <v>2246</v>
      </c>
      <c r="C989" s="27"/>
      <c r="D989" s="31">
        <f t="shared" si="253"/>
        <v>14.532</v>
      </c>
      <c r="E989" s="52">
        <v>43078</v>
      </c>
      <c r="F989" s="31"/>
      <c r="G989" s="31">
        <v>1.22</v>
      </c>
      <c r="H989" s="31">
        <v>1.25</v>
      </c>
      <c r="I989" s="31">
        <v>1.3</v>
      </c>
      <c r="J989" s="31"/>
      <c r="K989" s="52">
        <f t="shared" si="252"/>
        <v>85402.134999999995</v>
      </c>
      <c r="L989" s="52">
        <f t="shared" si="254"/>
        <v>256206.40499999997</v>
      </c>
    </row>
    <row r="990" spans="1:12" ht="30" customHeight="1" x14ac:dyDescent="0.2">
      <c r="A990" s="27" t="s">
        <v>3477</v>
      </c>
      <c r="B990" s="27" t="s">
        <v>2248</v>
      </c>
      <c r="C990" s="27"/>
      <c r="D990" s="31">
        <f t="shared" si="253"/>
        <v>19.265000000000001</v>
      </c>
      <c r="E990" s="52">
        <v>43078</v>
      </c>
      <c r="F990" s="31"/>
      <c r="G990" s="31">
        <v>1.22</v>
      </c>
      <c r="H990" s="31">
        <v>1.25</v>
      </c>
      <c r="I990" s="31">
        <v>1.3</v>
      </c>
      <c r="J990" s="31"/>
      <c r="K990" s="52">
        <f t="shared" si="252"/>
        <v>85402.134999999995</v>
      </c>
      <c r="L990" s="52">
        <f t="shared" si="254"/>
        <v>341608.54</v>
      </c>
    </row>
    <row r="991" spans="1:12" ht="30" customHeight="1" x14ac:dyDescent="0.2">
      <c r="A991" s="27" t="s">
        <v>3478</v>
      </c>
      <c r="B991" s="27" t="s">
        <v>2250</v>
      </c>
      <c r="C991" s="27"/>
      <c r="D991" s="31">
        <f t="shared" si="253"/>
        <v>23.998000000000001</v>
      </c>
      <c r="E991" s="52">
        <v>43078</v>
      </c>
      <c r="F991" s="31"/>
      <c r="G991" s="31">
        <v>1.22</v>
      </c>
      <c r="H991" s="31">
        <v>1.25</v>
      </c>
      <c r="I991" s="31">
        <v>1.3</v>
      </c>
      <c r="J991" s="31"/>
      <c r="K991" s="52">
        <f t="shared" si="252"/>
        <v>85402.134999999995</v>
      </c>
      <c r="L991" s="52">
        <f t="shared" si="254"/>
        <v>427010.67499999999</v>
      </c>
    </row>
    <row r="992" spans="1:12" ht="30" customHeight="1" x14ac:dyDescent="0.2">
      <c r="A992" s="27" t="s">
        <v>3479</v>
      </c>
      <c r="B992" s="27" t="s">
        <v>2291</v>
      </c>
      <c r="C992" s="27"/>
      <c r="D992" s="31">
        <f t="shared" si="253"/>
        <v>28.731000000000002</v>
      </c>
      <c r="E992" s="52">
        <v>43078</v>
      </c>
      <c r="F992" s="31"/>
      <c r="G992" s="31">
        <v>1.22</v>
      </c>
      <c r="H992" s="31">
        <v>1.25</v>
      </c>
      <c r="I992" s="31">
        <v>1.3</v>
      </c>
      <c r="J992" s="31"/>
      <c r="K992" s="52">
        <f t="shared" si="252"/>
        <v>85402.134999999995</v>
      </c>
      <c r="L992" s="52">
        <f t="shared" si="254"/>
        <v>512412.81</v>
      </c>
    </row>
    <row r="993" spans="1:12" ht="30" customHeight="1" x14ac:dyDescent="0.2">
      <c r="A993" s="27" t="s">
        <v>3480</v>
      </c>
      <c r="B993" s="27" t="s">
        <v>2254</v>
      </c>
      <c r="C993" s="27"/>
      <c r="D993" s="31">
        <f t="shared" si="253"/>
        <v>33.463999999999999</v>
      </c>
      <c r="E993" s="52">
        <v>43078</v>
      </c>
      <c r="F993" s="31"/>
      <c r="G993" s="31">
        <v>1.22</v>
      </c>
      <c r="H993" s="31">
        <v>1.25</v>
      </c>
      <c r="I993" s="31">
        <v>1.3</v>
      </c>
      <c r="J993" s="31"/>
      <c r="K993" s="52">
        <f t="shared" si="252"/>
        <v>85402.134999999995</v>
      </c>
      <c r="L993" s="52">
        <f t="shared" si="254"/>
        <v>597814.94499999995</v>
      </c>
    </row>
    <row r="994" spans="1:12" ht="30" customHeight="1" x14ac:dyDescent="0.2">
      <c r="A994" s="27" t="s">
        <v>3481</v>
      </c>
      <c r="B994" s="27" t="s">
        <v>2256</v>
      </c>
      <c r="C994" s="27"/>
      <c r="D994" s="31">
        <f t="shared" si="253"/>
        <v>38.196999999999996</v>
      </c>
      <c r="E994" s="52">
        <v>43078</v>
      </c>
      <c r="F994" s="31"/>
      <c r="G994" s="31">
        <v>1.22</v>
      </c>
      <c r="H994" s="31">
        <v>1.25</v>
      </c>
      <c r="I994" s="31">
        <v>1.3</v>
      </c>
      <c r="J994" s="31"/>
      <c r="K994" s="52">
        <f t="shared" si="252"/>
        <v>85402.134999999995</v>
      </c>
      <c r="L994" s="52">
        <f t="shared" si="254"/>
        <v>683217.08</v>
      </c>
    </row>
    <row r="995" spans="1:12" ht="30" customHeight="1" x14ac:dyDescent="0.2">
      <c r="A995" s="27" t="s">
        <v>3482</v>
      </c>
      <c r="B995" s="27" t="s">
        <v>2258</v>
      </c>
      <c r="C995" s="27"/>
      <c r="D995" s="31">
        <f t="shared" si="253"/>
        <v>42.929999999999993</v>
      </c>
      <c r="E995" s="52">
        <v>43078</v>
      </c>
      <c r="F995" s="31"/>
      <c r="G995" s="31">
        <v>1.22</v>
      </c>
      <c r="H995" s="31">
        <v>1.25</v>
      </c>
      <c r="I995" s="31">
        <v>1.3</v>
      </c>
      <c r="J995" s="31"/>
      <c r="K995" s="52">
        <f t="shared" si="252"/>
        <v>85402.134999999995</v>
      </c>
      <c r="L995" s="52">
        <f t="shared" si="254"/>
        <v>768619.21499999997</v>
      </c>
    </row>
    <row r="996" spans="1:12" ht="30" customHeight="1" x14ac:dyDescent="0.2">
      <c r="A996" s="27" t="s">
        <v>3483</v>
      </c>
      <c r="B996" s="27" t="s">
        <v>2260</v>
      </c>
      <c r="C996" s="27"/>
      <c r="D996" s="31">
        <f t="shared" si="253"/>
        <v>47.66299999999999</v>
      </c>
      <c r="E996" s="52">
        <v>43078</v>
      </c>
      <c r="F996" s="31"/>
      <c r="G996" s="31">
        <v>1.22</v>
      </c>
      <c r="H996" s="31">
        <v>1.25</v>
      </c>
      <c r="I996" s="31">
        <v>1.3</v>
      </c>
      <c r="J996" s="31"/>
      <c r="K996" s="52">
        <f t="shared" si="252"/>
        <v>85402.134999999995</v>
      </c>
      <c r="L996" s="52">
        <f t="shared" si="254"/>
        <v>854021.35</v>
      </c>
    </row>
    <row r="997" spans="1:12" ht="30" customHeight="1" x14ac:dyDescent="0.2">
      <c r="A997" s="27" t="s">
        <v>3484</v>
      </c>
      <c r="B997" s="27" t="s">
        <v>2297</v>
      </c>
      <c r="C997" s="27"/>
      <c r="D997" s="31">
        <f t="shared" si="253"/>
        <v>52.395999999999987</v>
      </c>
      <c r="E997" s="52">
        <v>43078</v>
      </c>
      <c r="F997" s="31"/>
      <c r="G997" s="31">
        <v>1.22</v>
      </c>
      <c r="H997" s="31">
        <v>1.25</v>
      </c>
      <c r="I997" s="31">
        <v>1.3</v>
      </c>
      <c r="J997" s="31"/>
      <c r="K997" s="52">
        <f t="shared" si="252"/>
        <v>85402.134999999995</v>
      </c>
      <c r="L997" s="52">
        <f t="shared" si="254"/>
        <v>939423.48499999999</v>
      </c>
    </row>
    <row r="998" spans="1:12" ht="30" customHeight="1" x14ac:dyDescent="0.2">
      <c r="A998" s="27" t="s">
        <v>3485</v>
      </c>
      <c r="B998" s="27" t="s">
        <v>2264</v>
      </c>
      <c r="C998" s="27"/>
      <c r="D998" s="31">
        <f t="shared" si="253"/>
        <v>57.128999999999984</v>
      </c>
      <c r="E998" s="52">
        <v>43078</v>
      </c>
      <c r="F998" s="31"/>
      <c r="G998" s="31">
        <v>1.22</v>
      </c>
      <c r="H998" s="31">
        <v>1.25</v>
      </c>
      <c r="I998" s="31">
        <v>1.3</v>
      </c>
      <c r="J998" s="31"/>
      <c r="K998" s="52">
        <f t="shared" si="252"/>
        <v>85402.134999999995</v>
      </c>
      <c r="L998" s="52">
        <f t="shared" si="254"/>
        <v>1024825.62</v>
      </c>
    </row>
    <row r="999" spans="1:12" ht="30" customHeight="1" x14ac:dyDescent="0.2">
      <c r="A999" s="27" t="s">
        <v>3486</v>
      </c>
      <c r="B999" s="27" t="s">
        <v>2266</v>
      </c>
      <c r="C999" s="27"/>
      <c r="D999" s="31">
        <f t="shared" si="253"/>
        <v>61.861999999999981</v>
      </c>
      <c r="E999" s="52">
        <v>43078</v>
      </c>
      <c r="F999" s="31"/>
      <c r="G999" s="31">
        <v>1.22</v>
      </c>
      <c r="H999" s="31">
        <v>1.25</v>
      </c>
      <c r="I999" s="31">
        <v>1.3</v>
      </c>
      <c r="J999" s="31"/>
      <c r="K999" s="52">
        <f t="shared" si="252"/>
        <v>85402.134999999995</v>
      </c>
      <c r="L999" s="52">
        <f t="shared" si="254"/>
        <v>1110227.7549999999</v>
      </c>
    </row>
    <row r="1000" spans="1:12" ht="30" customHeight="1" x14ac:dyDescent="0.2">
      <c r="A1000" s="27" t="s">
        <v>3487</v>
      </c>
      <c r="B1000" s="27" t="s">
        <v>2268</v>
      </c>
      <c r="C1000" s="27"/>
      <c r="D1000" s="31">
        <f t="shared" si="253"/>
        <v>66.594999999999985</v>
      </c>
      <c r="E1000" s="52">
        <v>43078</v>
      </c>
      <c r="F1000" s="31"/>
      <c r="G1000" s="31">
        <v>1.22</v>
      </c>
      <c r="H1000" s="31">
        <v>1.25</v>
      </c>
      <c r="I1000" s="31">
        <v>1.3</v>
      </c>
      <c r="J1000" s="31"/>
      <c r="K1000" s="52">
        <f t="shared" si="252"/>
        <v>85402.134999999995</v>
      </c>
      <c r="L1000" s="52">
        <f t="shared" si="254"/>
        <v>1195629.8899999999</v>
      </c>
    </row>
    <row r="1001" spans="1:12" ht="30" customHeight="1" x14ac:dyDescent="0.2">
      <c r="A1001" s="27" t="s">
        <v>3488</v>
      </c>
      <c r="B1001" s="27" t="s">
        <v>2270</v>
      </c>
      <c r="C1001" s="27"/>
      <c r="D1001" s="31">
        <f t="shared" si="253"/>
        <v>71.327999999999989</v>
      </c>
      <c r="E1001" s="52">
        <v>43078</v>
      </c>
      <c r="F1001" s="31"/>
      <c r="G1001" s="31">
        <v>1.22</v>
      </c>
      <c r="H1001" s="31">
        <v>1.25</v>
      </c>
      <c r="I1001" s="31">
        <v>1.3</v>
      </c>
      <c r="J1001" s="31"/>
      <c r="K1001" s="52">
        <f t="shared" si="252"/>
        <v>85402.134999999995</v>
      </c>
      <c r="L1001" s="52">
        <f t="shared" si="254"/>
        <v>1281032.0249999999</v>
      </c>
    </row>
    <row r="1002" spans="1:12" ht="30" customHeight="1" x14ac:dyDescent="0.2">
      <c r="A1002" s="27" t="s">
        <v>3489</v>
      </c>
      <c r="B1002" s="27" t="s">
        <v>2303</v>
      </c>
      <c r="C1002" s="27"/>
      <c r="D1002" s="31">
        <f t="shared" si="253"/>
        <v>76.060999999999993</v>
      </c>
      <c r="E1002" s="52">
        <v>43078</v>
      </c>
      <c r="F1002" s="31"/>
      <c r="G1002" s="31">
        <v>1.22</v>
      </c>
      <c r="H1002" s="31">
        <v>1.25</v>
      </c>
      <c r="I1002" s="31">
        <v>1.3</v>
      </c>
      <c r="J1002" s="31"/>
      <c r="K1002" s="52">
        <f t="shared" si="252"/>
        <v>85402.134999999995</v>
      </c>
      <c r="L1002" s="52">
        <f t="shared" si="254"/>
        <v>1366434.16</v>
      </c>
    </row>
    <row r="1003" spans="1:12" ht="30" customHeight="1" x14ac:dyDescent="0.2">
      <c r="A1003" s="27" t="s">
        <v>3490</v>
      </c>
      <c r="B1003" s="27" t="s">
        <v>2274</v>
      </c>
      <c r="C1003" s="27"/>
      <c r="D1003" s="31">
        <f t="shared" si="253"/>
        <v>80.793999999999997</v>
      </c>
      <c r="E1003" s="52">
        <v>43078</v>
      </c>
      <c r="F1003" s="31"/>
      <c r="G1003" s="31">
        <v>1.22</v>
      </c>
      <c r="H1003" s="31">
        <v>1.25</v>
      </c>
      <c r="I1003" s="31">
        <v>1.3</v>
      </c>
      <c r="J1003" s="31"/>
      <c r="K1003" s="52">
        <f t="shared" si="252"/>
        <v>85402.134999999995</v>
      </c>
      <c r="L1003" s="52">
        <f t="shared" si="254"/>
        <v>1451836.2949999999</v>
      </c>
    </row>
    <row r="1004" spans="1:12" ht="30" customHeight="1" x14ac:dyDescent="0.2">
      <c r="A1004" s="27" t="s">
        <v>3491</v>
      </c>
      <c r="B1004" s="27" t="s">
        <v>2276</v>
      </c>
      <c r="C1004" s="27"/>
      <c r="D1004" s="31">
        <f t="shared" si="253"/>
        <v>85.527000000000001</v>
      </c>
      <c r="E1004" s="52">
        <v>43078</v>
      </c>
      <c r="F1004" s="31"/>
      <c r="G1004" s="31">
        <v>1.22</v>
      </c>
      <c r="H1004" s="31">
        <v>1.25</v>
      </c>
      <c r="I1004" s="31">
        <v>1.3</v>
      </c>
      <c r="J1004" s="31"/>
      <c r="K1004" s="52">
        <f t="shared" si="252"/>
        <v>85402.134999999995</v>
      </c>
      <c r="L1004" s="52">
        <f t="shared" si="254"/>
        <v>1537238.43</v>
      </c>
    </row>
    <row r="1005" spans="1:12" ht="30" customHeight="1" x14ac:dyDescent="0.2">
      <c r="A1005" s="27" t="s">
        <v>3492</v>
      </c>
      <c r="B1005" s="27" t="s">
        <v>2278</v>
      </c>
      <c r="C1005" s="27"/>
      <c r="D1005" s="31">
        <f t="shared" si="253"/>
        <v>90.26</v>
      </c>
      <c r="E1005" s="52">
        <v>43078</v>
      </c>
      <c r="F1005" s="31"/>
      <c r="G1005" s="31">
        <v>1.22</v>
      </c>
      <c r="H1005" s="31">
        <v>1.25</v>
      </c>
      <c r="I1005" s="31">
        <v>1.3</v>
      </c>
      <c r="J1005" s="31"/>
      <c r="K1005" s="52">
        <f t="shared" si="252"/>
        <v>85402.134999999995</v>
      </c>
      <c r="L1005" s="52">
        <f t="shared" si="254"/>
        <v>1622640.5649999999</v>
      </c>
    </row>
    <row r="1006" spans="1:12" ht="30" customHeight="1" x14ac:dyDescent="0.2">
      <c r="A1006" s="27" t="s">
        <v>3493</v>
      </c>
      <c r="B1006" s="27" t="s">
        <v>2280</v>
      </c>
      <c r="C1006" s="27"/>
      <c r="D1006" s="31">
        <f t="shared" si="253"/>
        <v>94.993000000000009</v>
      </c>
      <c r="E1006" s="52">
        <v>43078</v>
      </c>
      <c r="F1006" s="31"/>
      <c r="G1006" s="31">
        <v>1.22</v>
      </c>
      <c r="H1006" s="31">
        <v>1.25</v>
      </c>
      <c r="I1006" s="31">
        <v>1.3</v>
      </c>
      <c r="J1006" s="31"/>
      <c r="K1006" s="52">
        <f t="shared" si="252"/>
        <v>85402.134999999995</v>
      </c>
      <c r="L1006" s="52">
        <f t="shared" si="254"/>
        <v>1708042.7</v>
      </c>
    </row>
    <row r="1007" spans="1:12" ht="30" customHeight="1" x14ac:dyDescent="0.2">
      <c r="A1007" s="27" t="s">
        <v>3494</v>
      </c>
      <c r="B1007" s="27" t="s">
        <v>2309</v>
      </c>
      <c r="C1007" s="27"/>
      <c r="D1007" s="31">
        <f t="shared" si="253"/>
        <v>99.726000000000013</v>
      </c>
      <c r="E1007" s="52">
        <v>43078</v>
      </c>
      <c r="F1007" s="31"/>
      <c r="G1007" s="31">
        <v>1.22</v>
      </c>
      <c r="H1007" s="31">
        <v>1.25</v>
      </c>
      <c r="I1007" s="31">
        <v>1.3</v>
      </c>
      <c r="J1007" s="31"/>
      <c r="K1007" s="52">
        <f t="shared" si="252"/>
        <v>85402.134999999995</v>
      </c>
      <c r="L1007" s="52">
        <f t="shared" si="254"/>
        <v>1793444.835</v>
      </c>
    </row>
    <row r="1008" spans="1:12" ht="30" customHeight="1" x14ac:dyDescent="0.2">
      <c r="A1008" s="27" t="s">
        <v>3495</v>
      </c>
      <c r="B1008" s="27" t="s">
        <v>2284</v>
      </c>
      <c r="C1008" s="27"/>
      <c r="D1008" s="31">
        <f t="shared" si="253"/>
        <v>104.45900000000002</v>
      </c>
      <c r="E1008" s="52">
        <v>43078</v>
      </c>
      <c r="F1008" s="31"/>
      <c r="G1008" s="31">
        <v>1.22</v>
      </c>
      <c r="H1008" s="31">
        <v>1.25</v>
      </c>
      <c r="I1008" s="31">
        <v>1.3</v>
      </c>
      <c r="J1008" s="31"/>
      <c r="K1008" s="52">
        <f t="shared" si="252"/>
        <v>85402.134999999995</v>
      </c>
      <c r="L1008" s="52">
        <f t="shared" si="254"/>
        <v>1878846.97</v>
      </c>
    </row>
    <row r="1009" spans="1:12" ht="30" customHeight="1" x14ac:dyDescent="0.2">
      <c r="A1009" s="27" t="s">
        <v>3496</v>
      </c>
      <c r="B1009" s="27" t="s">
        <v>2424</v>
      </c>
      <c r="C1009" s="27"/>
      <c r="D1009" s="31">
        <f t="shared" si="253"/>
        <v>109.19200000000002</v>
      </c>
      <c r="E1009" s="52">
        <v>43078</v>
      </c>
      <c r="F1009" s="31"/>
      <c r="G1009" s="31">
        <v>1.22</v>
      </c>
      <c r="H1009" s="31">
        <v>1.25</v>
      </c>
      <c r="I1009" s="31">
        <v>1.3</v>
      </c>
      <c r="J1009" s="31"/>
      <c r="K1009" s="52">
        <f t="shared" si="252"/>
        <v>85402.134999999995</v>
      </c>
      <c r="L1009" s="52">
        <f t="shared" si="254"/>
        <v>1964249.105</v>
      </c>
    </row>
    <row r="1010" spans="1:12" ht="30" customHeight="1" x14ac:dyDescent="0.2">
      <c r="A1010" s="27" t="s">
        <v>3497</v>
      </c>
      <c r="B1010" s="27" t="s">
        <v>2242</v>
      </c>
      <c r="C1010" s="27"/>
      <c r="D1010" s="31">
        <v>0</v>
      </c>
      <c r="E1010" s="52">
        <v>26199</v>
      </c>
      <c r="F1010" s="31"/>
      <c r="G1010" s="31">
        <v>1.22</v>
      </c>
      <c r="H1010" s="31">
        <v>1.25</v>
      </c>
      <c r="I1010" s="31">
        <v>1.3</v>
      </c>
      <c r="J1010" s="31"/>
      <c r="K1010" s="52">
        <f t="shared" si="252"/>
        <v>51939.517500000002</v>
      </c>
      <c r="L1010" s="52">
        <f>K1010</f>
        <v>51939.517500000002</v>
      </c>
    </row>
    <row r="1011" spans="1:12" ht="30" customHeight="1" x14ac:dyDescent="0.2">
      <c r="A1011" s="27" t="s">
        <v>3498</v>
      </c>
      <c r="B1011" s="27" t="s">
        <v>2244</v>
      </c>
      <c r="C1011" s="27"/>
      <c r="D1011" s="31">
        <f t="shared" ref="D1011:D1043" si="255">D1010+0.5</f>
        <v>0.5</v>
      </c>
      <c r="E1011" s="52">
        <v>26199</v>
      </c>
      <c r="F1011" s="31"/>
      <c r="G1011" s="31">
        <v>1.22</v>
      </c>
      <c r="H1011" s="31">
        <v>1.25</v>
      </c>
      <c r="I1011" s="31">
        <v>1.3</v>
      </c>
      <c r="J1011" s="31"/>
      <c r="K1011" s="52">
        <f t="shared" si="252"/>
        <v>51939.517500000002</v>
      </c>
      <c r="L1011" s="52">
        <f t="shared" ref="L1011:L1043" si="256">K1011+L1010</f>
        <v>103879.035</v>
      </c>
    </row>
    <row r="1012" spans="1:12" ht="30" customHeight="1" x14ac:dyDescent="0.2">
      <c r="A1012" s="27" t="s">
        <v>3499</v>
      </c>
      <c r="B1012" s="27" t="s">
        <v>2246</v>
      </c>
      <c r="C1012" s="27"/>
      <c r="D1012" s="31">
        <f t="shared" si="255"/>
        <v>1</v>
      </c>
      <c r="E1012" s="52">
        <v>26199</v>
      </c>
      <c r="F1012" s="31"/>
      <c r="G1012" s="31">
        <v>1.22</v>
      </c>
      <c r="H1012" s="31">
        <v>1.25</v>
      </c>
      <c r="I1012" s="31">
        <v>1.3</v>
      </c>
      <c r="J1012" s="31"/>
      <c r="K1012" s="52">
        <f t="shared" si="252"/>
        <v>51939.517500000002</v>
      </c>
      <c r="L1012" s="52">
        <f t="shared" si="256"/>
        <v>155818.55249999999</v>
      </c>
    </row>
    <row r="1013" spans="1:12" ht="30" customHeight="1" x14ac:dyDescent="0.2">
      <c r="A1013" s="27" t="s">
        <v>3500</v>
      </c>
      <c r="B1013" s="27" t="s">
        <v>2248</v>
      </c>
      <c r="C1013" s="27"/>
      <c r="D1013" s="31">
        <f t="shared" si="255"/>
        <v>1.5</v>
      </c>
      <c r="E1013" s="52">
        <v>26199</v>
      </c>
      <c r="F1013" s="31"/>
      <c r="G1013" s="31">
        <v>1.22</v>
      </c>
      <c r="H1013" s="31">
        <v>1.25</v>
      </c>
      <c r="I1013" s="31">
        <v>1.3</v>
      </c>
      <c r="J1013" s="31"/>
      <c r="K1013" s="52">
        <f t="shared" si="252"/>
        <v>51939.517500000002</v>
      </c>
      <c r="L1013" s="52">
        <f t="shared" si="256"/>
        <v>207758.07</v>
      </c>
    </row>
    <row r="1014" spans="1:12" ht="30" customHeight="1" x14ac:dyDescent="0.2">
      <c r="A1014" s="27" t="s">
        <v>3501</v>
      </c>
      <c r="B1014" s="27" t="s">
        <v>2250</v>
      </c>
      <c r="C1014" s="27"/>
      <c r="D1014" s="31">
        <f t="shared" si="255"/>
        <v>2</v>
      </c>
      <c r="E1014" s="52">
        <v>26199</v>
      </c>
      <c r="F1014" s="31"/>
      <c r="G1014" s="31">
        <v>1.22</v>
      </c>
      <c r="H1014" s="31">
        <v>1.25</v>
      </c>
      <c r="I1014" s="31">
        <v>1.3</v>
      </c>
      <c r="J1014" s="31"/>
      <c r="K1014" s="52">
        <f t="shared" si="252"/>
        <v>51939.517500000002</v>
      </c>
      <c r="L1014" s="52">
        <f t="shared" si="256"/>
        <v>259697.58750000002</v>
      </c>
    </row>
    <row r="1015" spans="1:12" ht="30" customHeight="1" x14ac:dyDescent="0.2">
      <c r="A1015" s="27" t="s">
        <v>3502</v>
      </c>
      <c r="B1015" s="27" t="s">
        <v>2291</v>
      </c>
      <c r="C1015" s="27"/>
      <c r="D1015" s="31">
        <f t="shared" si="255"/>
        <v>2.5</v>
      </c>
      <c r="E1015" s="52">
        <v>26199</v>
      </c>
      <c r="F1015" s="31"/>
      <c r="G1015" s="31">
        <v>1.22</v>
      </c>
      <c r="H1015" s="31">
        <v>1.25</v>
      </c>
      <c r="I1015" s="31">
        <v>1.3</v>
      </c>
      <c r="J1015" s="31"/>
      <c r="K1015" s="52">
        <f t="shared" si="252"/>
        <v>51939.517500000002</v>
      </c>
      <c r="L1015" s="52">
        <f t="shared" si="256"/>
        <v>311637.10500000004</v>
      </c>
    </row>
    <row r="1016" spans="1:12" ht="30" customHeight="1" x14ac:dyDescent="0.2">
      <c r="A1016" s="27" t="s">
        <v>3503</v>
      </c>
      <c r="B1016" s="27" t="s">
        <v>2254</v>
      </c>
      <c r="C1016" s="27"/>
      <c r="D1016" s="31">
        <f t="shared" si="255"/>
        <v>3</v>
      </c>
      <c r="E1016" s="52">
        <v>26199</v>
      </c>
      <c r="F1016" s="31"/>
      <c r="G1016" s="31">
        <v>1.22</v>
      </c>
      <c r="H1016" s="31">
        <v>1.25</v>
      </c>
      <c r="I1016" s="31">
        <v>1.3</v>
      </c>
      <c r="J1016" s="31"/>
      <c r="K1016" s="52">
        <f t="shared" si="252"/>
        <v>51939.517500000002</v>
      </c>
      <c r="L1016" s="52">
        <f t="shared" si="256"/>
        <v>363576.62250000006</v>
      </c>
    </row>
    <row r="1017" spans="1:12" ht="30" customHeight="1" x14ac:dyDescent="0.2">
      <c r="A1017" s="27" t="s">
        <v>3504</v>
      </c>
      <c r="B1017" s="27" t="s">
        <v>2256</v>
      </c>
      <c r="C1017" s="27"/>
      <c r="D1017" s="31">
        <f t="shared" si="255"/>
        <v>3.5</v>
      </c>
      <c r="E1017" s="52">
        <v>26199</v>
      </c>
      <c r="F1017" s="31"/>
      <c r="G1017" s="31">
        <v>1.22</v>
      </c>
      <c r="H1017" s="31">
        <v>1.25</v>
      </c>
      <c r="I1017" s="31">
        <v>1.3</v>
      </c>
      <c r="J1017" s="31"/>
      <c r="K1017" s="52">
        <f t="shared" si="252"/>
        <v>51939.517500000002</v>
      </c>
      <c r="L1017" s="52">
        <f t="shared" si="256"/>
        <v>415516.14000000007</v>
      </c>
    </row>
    <row r="1018" spans="1:12" ht="30" customHeight="1" x14ac:dyDescent="0.2">
      <c r="A1018" s="27" t="s">
        <v>3505</v>
      </c>
      <c r="B1018" s="27" t="s">
        <v>2258</v>
      </c>
      <c r="C1018" s="27"/>
      <c r="D1018" s="31">
        <f t="shared" si="255"/>
        <v>4</v>
      </c>
      <c r="E1018" s="52">
        <v>26199</v>
      </c>
      <c r="F1018" s="31"/>
      <c r="G1018" s="31">
        <v>1.22</v>
      </c>
      <c r="H1018" s="31">
        <v>1.25</v>
      </c>
      <c r="I1018" s="31">
        <v>1.3</v>
      </c>
      <c r="J1018" s="31"/>
      <c r="K1018" s="52">
        <f t="shared" si="252"/>
        <v>51939.517500000002</v>
      </c>
      <c r="L1018" s="52">
        <f t="shared" si="256"/>
        <v>467455.65750000009</v>
      </c>
    </row>
    <row r="1019" spans="1:12" ht="30" customHeight="1" x14ac:dyDescent="0.2">
      <c r="A1019" s="27" t="s">
        <v>3506</v>
      </c>
      <c r="B1019" s="27" t="s">
        <v>2260</v>
      </c>
      <c r="C1019" s="27"/>
      <c r="D1019" s="31">
        <f t="shared" si="255"/>
        <v>4.5</v>
      </c>
      <c r="E1019" s="52">
        <v>26199</v>
      </c>
      <c r="F1019" s="31"/>
      <c r="G1019" s="31">
        <v>1.22</v>
      </c>
      <c r="H1019" s="31">
        <v>1.25</v>
      </c>
      <c r="I1019" s="31">
        <v>1.3</v>
      </c>
      <c r="J1019" s="31"/>
      <c r="K1019" s="52">
        <f t="shared" si="252"/>
        <v>51939.517500000002</v>
      </c>
      <c r="L1019" s="52">
        <f t="shared" si="256"/>
        <v>519395.1750000001</v>
      </c>
    </row>
    <row r="1020" spans="1:12" ht="30" customHeight="1" x14ac:dyDescent="0.2">
      <c r="A1020" s="27" t="s">
        <v>3507</v>
      </c>
      <c r="B1020" s="27" t="s">
        <v>2297</v>
      </c>
      <c r="C1020" s="27"/>
      <c r="D1020" s="31">
        <f t="shared" si="255"/>
        <v>5</v>
      </c>
      <c r="E1020" s="52">
        <v>26199</v>
      </c>
      <c r="F1020" s="31"/>
      <c r="G1020" s="31">
        <v>1.22</v>
      </c>
      <c r="H1020" s="31">
        <v>1.25</v>
      </c>
      <c r="I1020" s="31">
        <v>1.3</v>
      </c>
      <c r="J1020" s="31"/>
      <c r="K1020" s="52">
        <f t="shared" si="252"/>
        <v>51939.517500000002</v>
      </c>
      <c r="L1020" s="52">
        <f t="shared" si="256"/>
        <v>571334.69250000012</v>
      </c>
    </row>
    <row r="1021" spans="1:12" ht="30" customHeight="1" x14ac:dyDescent="0.2">
      <c r="A1021" s="27" t="s">
        <v>3508</v>
      </c>
      <c r="B1021" s="27" t="s">
        <v>2264</v>
      </c>
      <c r="C1021" s="27"/>
      <c r="D1021" s="31">
        <f t="shared" si="255"/>
        <v>5.5</v>
      </c>
      <c r="E1021" s="52">
        <v>26199</v>
      </c>
      <c r="F1021" s="31"/>
      <c r="G1021" s="31">
        <v>1.22</v>
      </c>
      <c r="H1021" s="31">
        <v>1.25</v>
      </c>
      <c r="I1021" s="31">
        <v>1.3</v>
      </c>
      <c r="J1021" s="31"/>
      <c r="K1021" s="52">
        <f t="shared" si="252"/>
        <v>51939.517500000002</v>
      </c>
      <c r="L1021" s="52">
        <f t="shared" si="256"/>
        <v>623274.21000000008</v>
      </c>
    </row>
    <row r="1022" spans="1:12" ht="30" customHeight="1" x14ac:dyDescent="0.2">
      <c r="A1022" s="27" t="s">
        <v>3509</v>
      </c>
      <c r="B1022" s="27" t="s">
        <v>2266</v>
      </c>
      <c r="C1022" s="27"/>
      <c r="D1022" s="31">
        <f t="shared" si="255"/>
        <v>6</v>
      </c>
      <c r="E1022" s="52">
        <v>26199</v>
      </c>
      <c r="F1022" s="31"/>
      <c r="G1022" s="31">
        <v>1.22</v>
      </c>
      <c r="H1022" s="31">
        <v>1.25</v>
      </c>
      <c r="I1022" s="31">
        <v>1.3</v>
      </c>
      <c r="J1022" s="31"/>
      <c r="K1022" s="52">
        <f t="shared" si="252"/>
        <v>51939.517500000002</v>
      </c>
      <c r="L1022" s="52">
        <f t="shared" si="256"/>
        <v>675213.72750000004</v>
      </c>
    </row>
    <row r="1023" spans="1:12" ht="30" customHeight="1" x14ac:dyDescent="0.2">
      <c r="A1023" s="27" t="s">
        <v>3510</v>
      </c>
      <c r="B1023" s="27" t="s">
        <v>2268</v>
      </c>
      <c r="C1023" s="27"/>
      <c r="D1023" s="31">
        <f t="shared" si="255"/>
        <v>6.5</v>
      </c>
      <c r="E1023" s="52">
        <v>26199</v>
      </c>
      <c r="F1023" s="31"/>
      <c r="G1023" s="31">
        <v>1.22</v>
      </c>
      <c r="H1023" s="31">
        <v>1.25</v>
      </c>
      <c r="I1023" s="31">
        <v>1.3</v>
      </c>
      <c r="J1023" s="31"/>
      <c r="K1023" s="52">
        <f t="shared" si="252"/>
        <v>51939.517500000002</v>
      </c>
      <c r="L1023" s="52">
        <f t="shared" si="256"/>
        <v>727153.245</v>
      </c>
    </row>
    <row r="1024" spans="1:12" ht="30" customHeight="1" x14ac:dyDescent="0.2">
      <c r="A1024" s="27" t="s">
        <v>3511</v>
      </c>
      <c r="B1024" s="27" t="s">
        <v>2270</v>
      </c>
      <c r="C1024" s="27"/>
      <c r="D1024" s="31">
        <f t="shared" si="255"/>
        <v>7</v>
      </c>
      <c r="E1024" s="52">
        <v>26199</v>
      </c>
      <c r="F1024" s="31"/>
      <c r="G1024" s="31">
        <v>1.22</v>
      </c>
      <c r="H1024" s="31">
        <v>1.25</v>
      </c>
      <c r="I1024" s="31">
        <v>1.3</v>
      </c>
      <c r="J1024" s="31"/>
      <c r="K1024" s="52">
        <f t="shared" si="252"/>
        <v>51939.517500000002</v>
      </c>
      <c r="L1024" s="52">
        <f t="shared" si="256"/>
        <v>779092.76249999995</v>
      </c>
    </row>
    <row r="1025" spans="1:12" ht="30" customHeight="1" x14ac:dyDescent="0.2">
      <c r="A1025" s="27" t="s">
        <v>3512</v>
      </c>
      <c r="B1025" s="27" t="s">
        <v>2303</v>
      </c>
      <c r="C1025" s="27"/>
      <c r="D1025" s="31">
        <f t="shared" si="255"/>
        <v>7.5</v>
      </c>
      <c r="E1025" s="52">
        <v>26199</v>
      </c>
      <c r="F1025" s="31"/>
      <c r="G1025" s="31">
        <v>1.22</v>
      </c>
      <c r="H1025" s="31">
        <v>1.25</v>
      </c>
      <c r="I1025" s="31">
        <v>1.3</v>
      </c>
      <c r="J1025" s="31"/>
      <c r="K1025" s="52">
        <f t="shared" si="252"/>
        <v>51939.517500000002</v>
      </c>
      <c r="L1025" s="52">
        <f t="shared" si="256"/>
        <v>831032.27999999991</v>
      </c>
    </row>
    <row r="1026" spans="1:12" ht="30" customHeight="1" x14ac:dyDescent="0.2">
      <c r="A1026" s="27" t="s">
        <v>3513</v>
      </c>
      <c r="B1026" s="27" t="s">
        <v>2274</v>
      </c>
      <c r="C1026" s="27"/>
      <c r="D1026" s="31">
        <f t="shared" si="255"/>
        <v>8</v>
      </c>
      <c r="E1026" s="52">
        <v>26199</v>
      </c>
      <c r="F1026" s="31"/>
      <c r="G1026" s="31">
        <v>1.22</v>
      </c>
      <c r="H1026" s="31">
        <v>1.25</v>
      </c>
      <c r="I1026" s="31">
        <v>1.3</v>
      </c>
      <c r="J1026" s="31"/>
      <c r="K1026" s="52">
        <f t="shared" si="252"/>
        <v>51939.517500000002</v>
      </c>
      <c r="L1026" s="52">
        <f t="shared" si="256"/>
        <v>882971.79749999987</v>
      </c>
    </row>
    <row r="1027" spans="1:12" ht="30" customHeight="1" x14ac:dyDescent="0.2">
      <c r="A1027" s="27" t="s">
        <v>3514</v>
      </c>
      <c r="B1027" s="27" t="s">
        <v>2276</v>
      </c>
      <c r="C1027" s="27"/>
      <c r="D1027" s="31">
        <f t="shared" si="255"/>
        <v>8.5</v>
      </c>
      <c r="E1027" s="52">
        <v>26199</v>
      </c>
      <c r="F1027" s="31"/>
      <c r="G1027" s="31">
        <v>1.22</v>
      </c>
      <c r="H1027" s="31">
        <v>1.25</v>
      </c>
      <c r="I1027" s="31">
        <v>1.3</v>
      </c>
      <c r="J1027" s="31"/>
      <c r="K1027" s="52">
        <f t="shared" si="252"/>
        <v>51939.517500000002</v>
      </c>
      <c r="L1027" s="52">
        <f t="shared" si="256"/>
        <v>934911.31499999983</v>
      </c>
    </row>
    <row r="1028" spans="1:12" ht="30" customHeight="1" x14ac:dyDescent="0.2">
      <c r="A1028" s="27" t="s">
        <v>3515</v>
      </c>
      <c r="B1028" s="27" t="s">
        <v>2278</v>
      </c>
      <c r="C1028" s="27"/>
      <c r="D1028" s="31">
        <f t="shared" si="255"/>
        <v>9</v>
      </c>
      <c r="E1028" s="52">
        <v>26199</v>
      </c>
      <c r="F1028" s="31"/>
      <c r="G1028" s="31">
        <v>1.22</v>
      </c>
      <c r="H1028" s="31">
        <v>1.25</v>
      </c>
      <c r="I1028" s="31">
        <v>1.3</v>
      </c>
      <c r="J1028" s="31"/>
      <c r="K1028" s="52">
        <f t="shared" si="252"/>
        <v>51939.517500000002</v>
      </c>
      <c r="L1028" s="52">
        <f t="shared" si="256"/>
        <v>986850.83249999979</v>
      </c>
    </row>
    <row r="1029" spans="1:12" ht="30" customHeight="1" x14ac:dyDescent="0.2">
      <c r="A1029" s="27" t="s">
        <v>3516</v>
      </c>
      <c r="B1029" s="27" t="s">
        <v>2280</v>
      </c>
      <c r="C1029" s="27"/>
      <c r="D1029" s="31">
        <f t="shared" si="255"/>
        <v>9.5</v>
      </c>
      <c r="E1029" s="52">
        <v>26199</v>
      </c>
      <c r="F1029" s="31"/>
      <c r="G1029" s="31">
        <v>1.22</v>
      </c>
      <c r="H1029" s="31">
        <v>1.25</v>
      </c>
      <c r="I1029" s="31">
        <v>1.3</v>
      </c>
      <c r="J1029" s="31"/>
      <c r="K1029" s="52">
        <f t="shared" si="252"/>
        <v>51939.517500000002</v>
      </c>
      <c r="L1029" s="52">
        <f t="shared" si="256"/>
        <v>1038790.3499999997</v>
      </c>
    </row>
    <row r="1030" spans="1:12" ht="30" customHeight="1" x14ac:dyDescent="0.2">
      <c r="A1030" s="27" t="s">
        <v>3517</v>
      </c>
      <c r="B1030" s="27" t="s">
        <v>2309</v>
      </c>
      <c r="C1030" s="27"/>
      <c r="D1030" s="31">
        <f t="shared" si="255"/>
        <v>10</v>
      </c>
      <c r="E1030" s="52">
        <v>26199</v>
      </c>
      <c r="F1030" s="31"/>
      <c r="G1030" s="31">
        <v>1.22</v>
      </c>
      <c r="H1030" s="31">
        <v>1.25</v>
      </c>
      <c r="I1030" s="31">
        <v>1.3</v>
      </c>
      <c r="J1030" s="31"/>
      <c r="K1030" s="52">
        <f t="shared" si="252"/>
        <v>51939.517500000002</v>
      </c>
      <c r="L1030" s="52">
        <f t="shared" si="256"/>
        <v>1090729.8674999997</v>
      </c>
    </row>
    <row r="1031" spans="1:12" ht="30" customHeight="1" x14ac:dyDescent="0.2">
      <c r="A1031" s="27" t="s">
        <v>3518</v>
      </c>
      <c r="B1031" s="27" t="s">
        <v>2284</v>
      </c>
      <c r="C1031" s="27"/>
      <c r="D1031" s="31">
        <f t="shared" si="255"/>
        <v>10.5</v>
      </c>
      <c r="E1031" s="52">
        <v>26199</v>
      </c>
      <c r="F1031" s="31"/>
      <c r="G1031" s="31">
        <v>1.22</v>
      </c>
      <c r="H1031" s="31">
        <v>1.25</v>
      </c>
      <c r="I1031" s="31">
        <v>1.3</v>
      </c>
      <c r="J1031" s="31"/>
      <c r="K1031" s="52">
        <f t="shared" si="252"/>
        <v>51939.517500000002</v>
      </c>
      <c r="L1031" s="52">
        <f t="shared" si="256"/>
        <v>1142669.3849999998</v>
      </c>
    </row>
    <row r="1032" spans="1:12" ht="30" customHeight="1" x14ac:dyDescent="0.2">
      <c r="A1032" s="27" t="s">
        <v>3519</v>
      </c>
      <c r="B1032" s="27" t="s">
        <v>2424</v>
      </c>
      <c r="C1032" s="27"/>
      <c r="D1032" s="31">
        <f t="shared" si="255"/>
        <v>11</v>
      </c>
      <c r="E1032" s="52">
        <v>26199</v>
      </c>
      <c r="F1032" s="31"/>
      <c r="G1032" s="31">
        <v>1.22</v>
      </c>
      <c r="H1032" s="31">
        <v>1.25</v>
      </c>
      <c r="I1032" s="31">
        <v>1.3</v>
      </c>
      <c r="J1032" s="31"/>
      <c r="K1032" s="52">
        <f t="shared" si="252"/>
        <v>51939.517500000002</v>
      </c>
      <c r="L1032" s="52">
        <f t="shared" si="256"/>
        <v>1194608.9024999999</v>
      </c>
    </row>
    <row r="1033" spans="1:12" ht="30" customHeight="1" x14ac:dyDescent="0.2">
      <c r="A1033" s="27" t="s">
        <v>3520</v>
      </c>
      <c r="B1033" s="27" t="s">
        <v>2491</v>
      </c>
      <c r="C1033" s="27"/>
      <c r="D1033" s="31">
        <f t="shared" si="255"/>
        <v>11.5</v>
      </c>
      <c r="E1033" s="52">
        <v>26199</v>
      </c>
      <c r="F1033" s="31"/>
      <c r="G1033" s="31">
        <v>1.22</v>
      </c>
      <c r="H1033" s="31">
        <v>1.25</v>
      </c>
      <c r="I1033" s="31">
        <v>1.3</v>
      </c>
      <c r="J1033" s="31"/>
      <c r="K1033" s="52">
        <f t="shared" si="252"/>
        <v>51939.517500000002</v>
      </c>
      <c r="L1033" s="52">
        <f t="shared" si="256"/>
        <v>1246548.42</v>
      </c>
    </row>
    <row r="1034" spans="1:12" ht="30" customHeight="1" x14ac:dyDescent="0.2">
      <c r="A1034" s="27" t="s">
        <v>3521</v>
      </c>
      <c r="B1034" s="27" t="s">
        <v>3098</v>
      </c>
      <c r="C1034" s="27"/>
      <c r="D1034" s="31">
        <f t="shared" si="255"/>
        <v>12</v>
      </c>
      <c r="E1034" s="52">
        <v>26199</v>
      </c>
      <c r="F1034" s="31"/>
      <c r="G1034" s="31">
        <v>1.22</v>
      </c>
      <c r="H1034" s="31">
        <v>1.25</v>
      </c>
      <c r="I1034" s="31">
        <v>1.3</v>
      </c>
      <c r="J1034" s="31"/>
      <c r="K1034" s="52">
        <f t="shared" si="252"/>
        <v>51939.517500000002</v>
      </c>
      <c r="L1034" s="52">
        <f t="shared" si="256"/>
        <v>1298487.9375</v>
      </c>
    </row>
    <row r="1035" spans="1:12" ht="30" customHeight="1" x14ac:dyDescent="0.2">
      <c r="A1035" s="27" t="s">
        <v>3522</v>
      </c>
      <c r="B1035" s="27" t="s">
        <v>3100</v>
      </c>
      <c r="C1035" s="27"/>
      <c r="D1035" s="31">
        <f t="shared" si="255"/>
        <v>12.5</v>
      </c>
      <c r="E1035" s="52">
        <v>26199</v>
      </c>
      <c r="F1035" s="31"/>
      <c r="G1035" s="31">
        <v>1.22</v>
      </c>
      <c r="H1035" s="31">
        <v>1.25</v>
      </c>
      <c r="I1035" s="31">
        <v>1.3</v>
      </c>
      <c r="J1035" s="31"/>
      <c r="K1035" s="52">
        <f t="shared" si="252"/>
        <v>51939.517500000002</v>
      </c>
      <c r="L1035" s="52">
        <f t="shared" si="256"/>
        <v>1350427.4550000001</v>
      </c>
    </row>
    <row r="1036" spans="1:12" ht="30" customHeight="1" x14ac:dyDescent="0.2">
      <c r="A1036" s="27" t="s">
        <v>3523</v>
      </c>
      <c r="B1036" s="27" t="s">
        <v>3102</v>
      </c>
      <c r="C1036" s="27"/>
      <c r="D1036" s="31">
        <f t="shared" si="255"/>
        <v>13</v>
      </c>
      <c r="E1036" s="52">
        <v>26199</v>
      </c>
      <c r="F1036" s="31"/>
      <c r="G1036" s="31">
        <v>1.22</v>
      </c>
      <c r="H1036" s="31">
        <v>1.25</v>
      </c>
      <c r="I1036" s="31">
        <v>1.3</v>
      </c>
      <c r="J1036" s="31"/>
      <c r="K1036" s="52">
        <f t="shared" si="252"/>
        <v>51939.517500000002</v>
      </c>
      <c r="L1036" s="52">
        <f t="shared" si="256"/>
        <v>1402366.9725000001</v>
      </c>
    </row>
    <row r="1037" spans="1:12" ht="30" customHeight="1" x14ac:dyDescent="0.2">
      <c r="A1037" s="27" t="s">
        <v>3524</v>
      </c>
      <c r="B1037" s="27" t="s">
        <v>3104</v>
      </c>
      <c r="C1037" s="27"/>
      <c r="D1037" s="31">
        <f t="shared" si="255"/>
        <v>13.5</v>
      </c>
      <c r="E1037" s="52">
        <v>26199</v>
      </c>
      <c r="F1037" s="31"/>
      <c r="G1037" s="31">
        <v>1.22</v>
      </c>
      <c r="H1037" s="31">
        <v>1.25</v>
      </c>
      <c r="I1037" s="31">
        <v>1.3</v>
      </c>
      <c r="J1037" s="31"/>
      <c r="K1037" s="52">
        <f t="shared" si="252"/>
        <v>51939.517500000002</v>
      </c>
      <c r="L1037" s="52">
        <f t="shared" si="256"/>
        <v>1454306.4900000002</v>
      </c>
    </row>
    <row r="1038" spans="1:12" ht="30" customHeight="1" x14ac:dyDescent="0.2">
      <c r="A1038" s="27" t="s">
        <v>3525</v>
      </c>
      <c r="B1038" s="27" t="s">
        <v>3106</v>
      </c>
      <c r="C1038" s="27"/>
      <c r="D1038" s="31">
        <f t="shared" si="255"/>
        <v>14</v>
      </c>
      <c r="E1038" s="52">
        <v>26199</v>
      </c>
      <c r="F1038" s="31"/>
      <c r="G1038" s="31">
        <v>1.22</v>
      </c>
      <c r="H1038" s="31">
        <v>1.25</v>
      </c>
      <c r="I1038" s="31">
        <v>1.3</v>
      </c>
      <c r="J1038" s="31"/>
      <c r="K1038" s="52">
        <f t="shared" si="252"/>
        <v>51939.517500000002</v>
      </c>
      <c r="L1038" s="52">
        <f t="shared" si="256"/>
        <v>1506246.0075000003</v>
      </c>
    </row>
    <row r="1039" spans="1:12" ht="30" customHeight="1" x14ac:dyDescent="0.2">
      <c r="A1039" s="27" t="s">
        <v>3526</v>
      </c>
      <c r="B1039" s="27" t="s">
        <v>3108</v>
      </c>
      <c r="C1039" s="27"/>
      <c r="D1039" s="31">
        <f t="shared" si="255"/>
        <v>14.5</v>
      </c>
      <c r="E1039" s="52">
        <v>26199</v>
      </c>
      <c r="F1039" s="31"/>
      <c r="G1039" s="31">
        <v>1.22</v>
      </c>
      <c r="H1039" s="31">
        <v>1.25</v>
      </c>
      <c r="I1039" s="31">
        <v>1.3</v>
      </c>
      <c r="J1039" s="31"/>
      <c r="K1039" s="52">
        <f t="shared" si="252"/>
        <v>51939.517500000002</v>
      </c>
      <c r="L1039" s="52">
        <f t="shared" si="256"/>
        <v>1558185.5250000004</v>
      </c>
    </row>
    <row r="1040" spans="1:12" ht="30" customHeight="1" x14ac:dyDescent="0.2">
      <c r="A1040" s="27" t="s">
        <v>3527</v>
      </c>
      <c r="B1040" s="27" t="s">
        <v>3110</v>
      </c>
      <c r="C1040" s="27"/>
      <c r="D1040" s="31">
        <f t="shared" si="255"/>
        <v>15</v>
      </c>
      <c r="E1040" s="52">
        <v>26199</v>
      </c>
      <c r="F1040" s="31"/>
      <c r="G1040" s="31">
        <v>1.22</v>
      </c>
      <c r="H1040" s="31">
        <v>1.25</v>
      </c>
      <c r="I1040" s="31">
        <v>1.3</v>
      </c>
      <c r="J1040" s="31"/>
      <c r="K1040" s="52">
        <f t="shared" si="252"/>
        <v>51939.517500000002</v>
      </c>
      <c r="L1040" s="52">
        <f t="shared" si="256"/>
        <v>1610125.0425000004</v>
      </c>
    </row>
    <row r="1041" spans="1:12" ht="30" customHeight="1" x14ac:dyDescent="0.2">
      <c r="A1041" s="27" t="s">
        <v>3528</v>
      </c>
      <c r="B1041" s="27" t="s">
        <v>3112</v>
      </c>
      <c r="C1041" s="27"/>
      <c r="D1041" s="31">
        <f t="shared" si="255"/>
        <v>15.5</v>
      </c>
      <c r="E1041" s="52">
        <v>26199</v>
      </c>
      <c r="F1041" s="31"/>
      <c r="G1041" s="31">
        <v>1.22</v>
      </c>
      <c r="H1041" s="31">
        <v>1.25</v>
      </c>
      <c r="I1041" s="31">
        <v>1.3</v>
      </c>
      <c r="J1041" s="31"/>
      <c r="K1041" s="52">
        <f t="shared" si="252"/>
        <v>51939.517500000002</v>
      </c>
      <c r="L1041" s="52">
        <f t="shared" si="256"/>
        <v>1662064.5600000005</v>
      </c>
    </row>
    <row r="1042" spans="1:12" ht="30" customHeight="1" x14ac:dyDescent="0.2">
      <c r="A1042" s="27" t="s">
        <v>3529</v>
      </c>
      <c r="B1042" s="27" t="s">
        <v>3114</v>
      </c>
      <c r="C1042" s="27"/>
      <c r="D1042" s="31">
        <f t="shared" si="255"/>
        <v>16</v>
      </c>
      <c r="E1042" s="52">
        <v>26199</v>
      </c>
      <c r="F1042" s="31"/>
      <c r="G1042" s="31">
        <v>1.22</v>
      </c>
      <c r="H1042" s="31">
        <v>1.25</v>
      </c>
      <c r="I1042" s="31">
        <v>1.3</v>
      </c>
      <c r="J1042" s="31"/>
      <c r="K1042" s="52">
        <f t="shared" si="252"/>
        <v>51939.517500000002</v>
      </c>
      <c r="L1042" s="52">
        <f t="shared" si="256"/>
        <v>1714004.0775000006</v>
      </c>
    </row>
    <row r="1043" spans="1:12" ht="30" customHeight="1" x14ac:dyDescent="0.2">
      <c r="A1043" s="27" t="s">
        <v>3530</v>
      </c>
      <c r="B1043" s="27" t="s">
        <v>3116</v>
      </c>
      <c r="C1043" s="27"/>
      <c r="D1043" s="31">
        <f t="shared" si="255"/>
        <v>16.5</v>
      </c>
      <c r="E1043" s="52">
        <v>26199</v>
      </c>
      <c r="F1043" s="31"/>
      <c r="G1043" s="31">
        <v>1.22</v>
      </c>
      <c r="H1043" s="31">
        <v>1.25</v>
      </c>
      <c r="I1043" s="31">
        <v>1.3</v>
      </c>
      <c r="J1043" s="31"/>
      <c r="K1043" s="52">
        <f t="shared" si="252"/>
        <v>51939.517500000002</v>
      </c>
      <c r="L1043" s="52">
        <f t="shared" si="256"/>
        <v>1765943.5950000007</v>
      </c>
    </row>
  </sheetData>
  <autoFilter ref="A1:L1043" xr:uid="{00000000-0009-0000-0000-00000E000000}"/>
  <conditionalFormatting sqref="B2:C1043 E534:E535 A689:A690 E751:E756">
    <cfRule type="containsText" dxfId="9" priority="2" operator="containsText" text="!">
      <formula>NOT(ISERROR(SEARCH(("!"),(B2))))</formula>
    </cfRule>
  </conditionalFormatting>
  <conditionalFormatting sqref="B282:C283">
    <cfRule type="colorScale" priority="1">
      <colorScale>
        <cfvo type="min"/>
        <cfvo type="formula" val="1"/>
        <cfvo type="max"/>
        <color rgb="FFE67C73"/>
        <color rgb="FFFFD666"/>
        <color rgb="FF57BB8A"/>
      </colorScale>
    </cfRule>
  </conditionalFormatting>
  <pageMargins left="0.7" right="0.7" top="0.75" bottom="0.75" header="0.3" footer="0.3"/>
  <drawing r:id="rId1"/>
  <legacy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4A86E8"/>
    <outlinePr summaryBelow="0" summaryRight="0"/>
  </sheetPr>
  <dimension ref="A1:U11"/>
  <sheetViews>
    <sheetView workbookViewId="0"/>
  </sheetViews>
  <sheetFormatPr defaultColWidth="12.5703125" defaultRowHeight="15.75" customHeight="1" x14ac:dyDescent="0.2"/>
  <cols>
    <col min="1" max="1" width="19.85546875" customWidth="1"/>
    <col min="2" max="20" width="7.5703125" customWidth="1"/>
    <col min="21" max="21" width="45.85546875" customWidth="1"/>
  </cols>
  <sheetData>
    <row r="1" spans="1:21" ht="15" customHeight="1" x14ac:dyDescent="0.2">
      <c r="A1" s="184" t="s">
        <v>359</v>
      </c>
      <c r="B1" s="186" t="s">
        <v>3531</v>
      </c>
      <c r="C1" s="158"/>
      <c r="D1" s="158"/>
      <c r="E1" s="158"/>
      <c r="F1" s="158"/>
      <c r="G1" s="158"/>
      <c r="H1" s="158"/>
      <c r="I1" s="158"/>
      <c r="J1" s="158"/>
      <c r="K1" s="158"/>
      <c r="L1" s="158"/>
      <c r="M1" s="187" t="s">
        <v>3532</v>
      </c>
      <c r="N1" s="158"/>
      <c r="O1" s="158"/>
      <c r="P1" s="158"/>
      <c r="Q1" s="158"/>
      <c r="R1" s="158"/>
      <c r="S1" s="158"/>
      <c r="T1" s="158"/>
      <c r="U1" s="176" t="s">
        <v>197</v>
      </c>
    </row>
    <row r="2" spans="1:21" ht="27" customHeight="1" x14ac:dyDescent="0.2">
      <c r="A2" s="185"/>
      <c r="B2" s="89" t="s">
        <v>370</v>
      </c>
      <c r="C2" s="178" t="s">
        <v>3533</v>
      </c>
      <c r="D2" s="179"/>
      <c r="E2" s="178" t="s">
        <v>3534</v>
      </c>
      <c r="F2" s="179"/>
      <c r="G2" s="178" t="s">
        <v>3535</v>
      </c>
      <c r="H2" s="179"/>
      <c r="I2" s="178" t="s">
        <v>3536</v>
      </c>
      <c r="J2" s="179"/>
      <c r="K2" s="182" t="s">
        <v>3537</v>
      </c>
      <c r="L2" s="179"/>
      <c r="M2" s="183" t="s">
        <v>360</v>
      </c>
      <c r="N2" s="179"/>
      <c r="O2" s="90" t="s">
        <v>3538</v>
      </c>
      <c r="P2" s="182" t="s">
        <v>363</v>
      </c>
      <c r="Q2" s="179"/>
      <c r="R2" s="89" t="s">
        <v>3539</v>
      </c>
      <c r="S2" s="89" t="s">
        <v>3540</v>
      </c>
      <c r="T2" s="89" t="s">
        <v>3541</v>
      </c>
      <c r="U2" s="177"/>
    </row>
    <row r="3" spans="1:21" ht="45" customHeight="1" x14ac:dyDescent="0.2">
      <c r="A3" s="91" t="s">
        <v>3542</v>
      </c>
      <c r="B3" s="30">
        <f t="shared" ref="B3:B5" si="0">55055+17284</f>
        <v>72339</v>
      </c>
      <c r="C3" s="39">
        <v>55055</v>
      </c>
      <c r="D3" s="41" t="s">
        <v>593</v>
      </c>
      <c r="E3" s="27">
        <v>17284</v>
      </c>
      <c r="F3" s="31" t="s">
        <v>593</v>
      </c>
      <c r="G3" s="39">
        <v>747</v>
      </c>
      <c r="H3" s="41" t="s">
        <v>593</v>
      </c>
      <c r="I3" s="27">
        <v>1600</v>
      </c>
      <c r="J3" s="31" t="s">
        <v>593</v>
      </c>
      <c r="K3" s="92">
        <f t="shared" ref="K3:K5" si="1">8889999/96</f>
        <v>92604.15625</v>
      </c>
      <c r="L3" s="41" t="s">
        <v>593</v>
      </c>
      <c r="M3" s="93">
        <f>8889999/96</f>
        <v>92604.15625</v>
      </c>
      <c r="N3" s="31" t="s">
        <v>593</v>
      </c>
      <c r="O3" s="41" t="s">
        <v>593</v>
      </c>
      <c r="P3" s="30">
        <v>137174</v>
      </c>
      <c r="Q3" s="31" t="s">
        <v>593</v>
      </c>
      <c r="R3" s="94">
        <f t="shared" ref="R3:R10" si="2">P3/B3</f>
        <v>1.896266191127884</v>
      </c>
      <c r="S3" s="41">
        <f t="shared" ref="S3:S10" si="3">P3/K3</f>
        <v>1.4812942048699893</v>
      </c>
      <c r="T3" s="41">
        <f t="shared" ref="T3:T10" si="4">P3/M3</f>
        <v>1.4812942048699893</v>
      </c>
      <c r="U3" s="95" t="s">
        <v>3543</v>
      </c>
    </row>
    <row r="4" spans="1:21" ht="45" customHeight="1" x14ac:dyDescent="0.2">
      <c r="A4" s="91" t="s">
        <v>3544</v>
      </c>
      <c r="B4" s="30">
        <f t="shared" si="0"/>
        <v>72339</v>
      </c>
      <c r="C4" s="39">
        <v>55055</v>
      </c>
      <c r="D4" s="41" t="s">
        <v>593</v>
      </c>
      <c r="E4" s="27">
        <v>17284</v>
      </c>
      <c r="F4" s="31" t="s">
        <v>593</v>
      </c>
      <c r="G4" s="39">
        <v>747</v>
      </c>
      <c r="H4" s="41" t="s">
        <v>593</v>
      </c>
      <c r="I4" s="27">
        <v>1600</v>
      </c>
      <c r="J4" s="31" t="s">
        <v>593</v>
      </c>
      <c r="K4" s="92">
        <f t="shared" si="1"/>
        <v>92604.15625</v>
      </c>
      <c r="L4" s="41" t="s">
        <v>593</v>
      </c>
      <c r="M4" s="93">
        <f>ROUND(9295897/96,0)</f>
        <v>96832</v>
      </c>
      <c r="N4" s="31">
        <f>M4/M3</f>
        <v>1.0456550107598437</v>
      </c>
      <c r="O4" s="41">
        <f t="shared" ref="O4:O10" si="5">M4/K4</f>
        <v>1.0456550107598437</v>
      </c>
      <c r="P4" s="30">
        <f>200.473372/96/100*6333290</f>
        <v>132255.83355769585</v>
      </c>
      <c r="Q4" s="31">
        <f>P4/P3</f>
        <v>0.96414651142123031</v>
      </c>
      <c r="R4" s="41">
        <f t="shared" si="2"/>
        <v>1.8282784329019732</v>
      </c>
      <c r="S4" s="41">
        <f t="shared" si="3"/>
        <v>1.4281846400138853</v>
      </c>
      <c r="T4" s="41">
        <f t="shared" si="4"/>
        <v>1.3658277589814922</v>
      </c>
      <c r="U4" s="96" t="s">
        <v>3545</v>
      </c>
    </row>
    <row r="5" spans="1:21" ht="45" customHeight="1" x14ac:dyDescent="0.2">
      <c r="A5" s="91" t="s">
        <v>3546</v>
      </c>
      <c r="B5" s="30">
        <f t="shared" si="0"/>
        <v>72339</v>
      </c>
      <c r="C5" s="39">
        <v>57804</v>
      </c>
      <c r="D5" s="41" t="s">
        <v>593</v>
      </c>
      <c r="E5" s="27">
        <v>18143</v>
      </c>
      <c r="F5" s="31" t="s">
        <v>593</v>
      </c>
      <c r="G5" s="39">
        <v>784</v>
      </c>
      <c r="H5" s="41" t="s">
        <v>593</v>
      </c>
      <c r="I5" s="27">
        <v>1680</v>
      </c>
      <c r="J5" s="31" t="s">
        <v>593</v>
      </c>
      <c r="K5" s="92">
        <f t="shared" si="1"/>
        <v>92604.15625</v>
      </c>
      <c r="L5" s="41" t="s">
        <v>593</v>
      </c>
      <c r="M5" s="93">
        <f>ROUND(7129381/72,0)</f>
        <v>99019</v>
      </c>
      <c r="N5" s="31">
        <f>M5/M3</f>
        <v>1.069271661335395</v>
      </c>
      <c r="O5" s="41">
        <f t="shared" si="5"/>
        <v>1.069271661335395</v>
      </c>
      <c r="P5" s="30">
        <f>142.011834/72/100*6333290</f>
        <v>124916.96224359167</v>
      </c>
      <c r="Q5" s="31">
        <f>P5/P3</f>
        <v>0.91064605715071123</v>
      </c>
      <c r="R5" s="41">
        <f t="shared" si="2"/>
        <v>1.7268273302588046</v>
      </c>
      <c r="S5" s="41">
        <f t="shared" si="3"/>
        <v>1.3489347271450536</v>
      </c>
      <c r="T5" s="41">
        <f t="shared" si="4"/>
        <v>1.2615453826396112</v>
      </c>
      <c r="U5" s="96" t="s">
        <v>3547</v>
      </c>
    </row>
    <row r="6" spans="1:21" ht="45" customHeight="1" x14ac:dyDescent="0.2">
      <c r="A6" s="91" t="s">
        <v>3548</v>
      </c>
      <c r="B6" s="30">
        <f>B3*1.43</f>
        <v>103444.76999999999</v>
      </c>
      <c r="C6" s="39">
        <v>78041</v>
      </c>
      <c r="D6" s="41">
        <f>C6/C3</f>
        <v>1.4175097629643085</v>
      </c>
      <c r="E6" s="27">
        <v>25406</v>
      </c>
      <c r="F6" s="31">
        <f>E6/E3</f>
        <v>1.4699143716732237</v>
      </c>
      <c r="G6" s="39">
        <v>784</v>
      </c>
      <c r="H6" s="41">
        <f>G6/G3</f>
        <v>1.0495314591700133</v>
      </c>
      <c r="I6" s="27">
        <v>2267</v>
      </c>
      <c r="J6" s="31">
        <f>I6/I3</f>
        <v>1.4168750000000001</v>
      </c>
      <c r="K6" s="92">
        <f>K3*B6/B3</f>
        <v>132423.94343749998</v>
      </c>
      <c r="L6" s="41">
        <f>K6/K3</f>
        <v>1.4299999999999997</v>
      </c>
      <c r="M6" s="93">
        <f>11882589/96</f>
        <v>123776.96875</v>
      </c>
      <c r="N6" s="31">
        <f>M6/M3</f>
        <v>1.3366243348283842</v>
      </c>
      <c r="O6" s="41">
        <f t="shared" si="5"/>
        <v>0.93470233204782116</v>
      </c>
      <c r="P6" s="30">
        <v>198462</v>
      </c>
      <c r="Q6" s="31">
        <f>P6/P3</f>
        <v>1.4467902080569204</v>
      </c>
      <c r="R6" s="41">
        <f t="shared" si="2"/>
        <v>1.9185310190162346</v>
      </c>
      <c r="S6" s="41">
        <f t="shared" si="3"/>
        <v>1.4986866789212325</v>
      </c>
      <c r="T6" s="41">
        <f t="shared" si="4"/>
        <v>1.6033839090117481</v>
      </c>
      <c r="U6" s="96" t="s">
        <v>3549</v>
      </c>
    </row>
    <row r="7" spans="1:21" ht="45" customHeight="1" x14ac:dyDescent="0.2">
      <c r="A7" s="91" t="s">
        <v>3550</v>
      </c>
      <c r="B7" s="30">
        <v>45850</v>
      </c>
      <c r="C7" s="39">
        <v>33033</v>
      </c>
      <c r="D7" s="41">
        <f>C7/C3</f>
        <v>0.6</v>
      </c>
      <c r="E7" s="27">
        <v>10370</v>
      </c>
      <c r="F7" s="31">
        <f>E7/E3</f>
        <v>0.59997685720897942</v>
      </c>
      <c r="G7" s="39">
        <v>448</v>
      </c>
      <c r="H7" s="41">
        <f>G7/G3</f>
        <v>0.59973226238286481</v>
      </c>
      <c r="I7" s="27">
        <v>960</v>
      </c>
      <c r="J7" s="31">
        <f>I7/I3</f>
        <v>0.6</v>
      </c>
      <c r="K7" s="92">
        <f>K3*B7/B3</f>
        <v>58694.487953420699</v>
      </c>
      <c r="L7" s="41">
        <f>K7/K3</f>
        <v>0.63382131353764914</v>
      </c>
      <c r="M7" s="93">
        <f>7077686/128</f>
        <v>55294.421875</v>
      </c>
      <c r="N7" s="31">
        <f>M7/M3</f>
        <v>0.59710518527617384</v>
      </c>
      <c r="O7" s="41">
        <f t="shared" si="5"/>
        <v>0.94207179929537921</v>
      </c>
      <c r="P7" s="30">
        <v>82796</v>
      </c>
      <c r="Q7" s="31">
        <f>P7/P3</f>
        <v>0.60358376951900505</v>
      </c>
      <c r="R7" s="41">
        <f t="shared" si="2"/>
        <v>1.8058015267175573</v>
      </c>
      <c r="S7" s="41">
        <f t="shared" si="3"/>
        <v>1.4106264981084082</v>
      </c>
      <c r="T7" s="41">
        <f t="shared" si="4"/>
        <v>1.4973662295840759</v>
      </c>
      <c r="U7" s="96" t="s">
        <v>3551</v>
      </c>
    </row>
    <row r="8" spans="1:21" ht="45" customHeight="1" x14ac:dyDescent="0.2">
      <c r="A8" s="91" t="s">
        <v>3552</v>
      </c>
      <c r="B8" s="30">
        <f>B3*1.35</f>
        <v>97657.650000000009</v>
      </c>
      <c r="C8" s="39">
        <v>74324</v>
      </c>
      <c r="D8" s="41">
        <f>C8/C3</f>
        <v>1.3499954590863681</v>
      </c>
      <c r="E8" s="27">
        <v>23333</v>
      </c>
      <c r="F8" s="31">
        <f>E8/E3</f>
        <v>1.3499768572089794</v>
      </c>
      <c r="G8" s="39">
        <v>1008</v>
      </c>
      <c r="H8" s="41">
        <f>G8/G3</f>
        <v>1.3493975903614457</v>
      </c>
      <c r="I8" s="27">
        <v>2159</v>
      </c>
      <c r="J8" s="31">
        <f>I8/I3</f>
        <v>1.349375</v>
      </c>
      <c r="K8" s="92">
        <f>K3*B8/B3</f>
        <v>125015.61093750001</v>
      </c>
      <c r="L8" s="41">
        <f>K8/K3</f>
        <v>1.35</v>
      </c>
      <c r="M8" s="93">
        <f>11517683/96</f>
        <v>119975.86458333333</v>
      </c>
      <c r="N8" s="31">
        <f>M8/M3</f>
        <v>1.2955775360604651</v>
      </c>
      <c r="O8" s="41">
        <f t="shared" si="5"/>
        <v>0.95968706374849266</v>
      </c>
      <c r="P8" s="30">
        <v>174025</v>
      </c>
      <c r="Q8" s="31">
        <f>P8/P3</f>
        <v>1.2686442037120738</v>
      </c>
      <c r="R8" s="41">
        <f t="shared" si="2"/>
        <v>1.7819904533848601</v>
      </c>
      <c r="S8" s="41">
        <f t="shared" si="3"/>
        <v>1.3920261533337754</v>
      </c>
      <c r="T8" s="41">
        <f t="shared" si="4"/>
        <v>1.4505000701964101</v>
      </c>
      <c r="U8" s="96" t="s">
        <v>3553</v>
      </c>
    </row>
    <row r="9" spans="1:21" ht="45" customHeight="1" x14ac:dyDescent="0.2">
      <c r="A9" s="91" t="s">
        <v>3554</v>
      </c>
      <c r="B9" s="30">
        <f>B3*1.25</f>
        <v>90423.75</v>
      </c>
      <c r="C9" s="39">
        <v>68819</v>
      </c>
      <c r="D9" s="41">
        <f>C9/C3</f>
        <v>1.2500045409136318</v>
      </c>
      <c r="E9" s="27">
        <v>21473</v>
      </c>
      <c r="F9" s="31">
        <f>E9/E3</f>
        <v>1.2423628789632029</v>
      </c>
      <c r="G9" s="39">
        <v>747</v>
      </c>
      <c r="H9" s="41">
        <f>G9/G3</f>
        <v>1</v>
      </c>
      <c r="I9" s="27">
        <v>1600</v>
      </c>
      <c r="J9" s="31">
        <f>I9/I3</f>
        <v>1</v>
      </c>
      <c r="K9" s="92">
        <f>K3*B9/B3</f>
        <v>115755.1953125</v>
      </c>
      <c r="L9" s="41">
        <f>K9/K3</f>
        <v>1.25</v>
      </c>
      <c r="M9" s="93">
        <f>10563486/96</f>
        <v>110036.3125</v>
      </c>
      <c r="N9" s="31">
        <f>M9/M3</f>
        <v>1.1882437782051494</v>
      </c>
      <c r="O9" s="41">
        <f t="shared" si="5"/>
        <v>0.95059502256411954</v>
      </c>
      <c r="P9" s="30">
        <v>145606</v>
      </c>
      <c r="Q9" s="31">
        <f>P9/P3</f>
        <v>1.061469374662837</v>
      </c>
      <c r="R9" s="41">
        <f t="shared" si="2"/>
        <v>1.6102627904726359</v>
      </c>
      <c r="S9" s="41">
        <f t="shared" si="3"/>
        <v>1.2578787466680255</v>
      </c>
      <c r="T9" s="41">
        <f t="shared" si="4"/>
        <v>1.3232540848731187</v>
      </c>
      <c r="U9" s="96" t="s">
        <v>3555</v>
      </c>
    </row>
    <row r="10" spans="1:21" ht="45" customHeight="1" x14ac:dyDescent="0.2">
      <c r="A10" s="91" t="s">
        <v>3556</v>
      </c>
      <c r="B10" s="30">
        <f>B3*1.19</f>
        <v>86083.409999999989</v>
      </c>
      <c r="C10" s="39">
        <v>68819</v>
      </c>
      <c r="D10" s="41">
        <f>C10/C3</f>
        <v>1.2500045409136318</v>
      </c>
      <c r="E10" s="27">
        <v>17284</v>
      </c>
      <c r="F10" s="31">
        <f>E10/E3</f>
        <v>1</v>
      </c>
      <c r="G10" s="39">
        <v>747</v>
      </c>
      <c r="H10" s="41">
        <f>G10/G3</f>
        <v>1</v>
      </c>
      <c r="I10" s="27">
        <v>1999</v>
      </c>
      <c r="J10" s="31">
        <f>I10/I3</f>
        <v>1.2493749999999999</v>
      </c>
      <c r="K10" s="92">
        <f>K3*B10/B3</f>
        <v>110198.94593749999</v>
      </c>
      <c r="L10" s="41">
        <f>K10/K3</f>
        <v>1.19</v>
      </c>
      <c r="M10" s="93">
        <f>10304144/96</f>
        <v>107334.83333333333</v>
      </c>
      <c r="N10" s="31">
        <f>M10/M3</f>
        <v>1.1590714464647296</v>
      </c>
      <c r="O10" s="41">
        <f t="shared" si="5"/>
        <v>0.97400961887792414</v>
      </c>
      <c r="P10" s="30">
        <v>142327</v>
      </c>
      <c r="Q10" s="31">
        <f>P10/P3</f>
        <v>1.0375654278507589</v>
      </c>
      <c r="R10" s="41">
        <f t="shared" si="2"/>
        <v>1.6533615478290187</v>
      </c>
      <c r="S10" s="41">
        <f t="shared" si="3"/>
        <v>1.2915459289485549</v>
      </c>
      <c r="T10" s="41">
        <f t="shared" si="4"/>
        <v>1.3260094191230247</v>
      </c>
      <c r="U10" s="96" t="s">
        <v>3557</v>
      </c>
    </row>
    <row r="11" spans="1:21" ht="26.25" customHeight="1" x14ac:dyDescent="0.2">
      <c r="A11" s="180" t="s">
        <v>3558</v>
      </c>
      <c r="B11" s="181"/>
      <c r="C11" s="181"/>
      <c r="D11" s="181"/>
      <c r="E11" s="181"/>
      <c r="F11" s="181"/>
      <c r="G11" s="181"/>
      <c r="H11" s="181"/>
      <c r="I11" s="181"/>
      <c r="J11" s="181"/>
      <c r="K11" s="181"/>
      <c r="L11" s="181"/>
      <c r="M11" s="181"/>
      <c r="N11" s="181"/>
      <c r="O11" s="181"/>
      <c r="P11" s="181"/>
      <c r="Q11" s="181"/>
      <c r="R11" s="181"/>
      <c r="S11" s="181"/>
      <c r="T11" s="181"/>
      <c r="U11" s="181"/>
    </row>
  </sheetData>
  <mergeCells count="12">
    <mergeCell ref="U1:U2"/>
    <mergeCell ref="C2:D2"/>
    <mergeCell ref="E2:F2"/>
    <mergeCell ref="G2:H2"/>
    <mergeCell ref="A11:U11"/>
    <mergeCell ref="I2:J2"/>
    <mergeCell ref="K2:L2"/>
    <mergeCell ref="M2:N2"/>
    <mergeCell ref="P2:Q2"/>
    <mergeCell ref="A1:A2"/>
    <mergeCell ref="B1:L1"/>
    <mergeCell ref="M1:T1"/>
  </mergeCells>
  <conditionalFormatting sqref="A1:U11">
    <cfRule type="containsText" dxfId="8" priority="1" operator="containsText" text="!">
      <formula>NOT(ISERROR(SEARCH(("!"),(A1))))</formula>
    </cfRule>
  </conditionalFormatting>
  <conditionalFormatting sqref="P3:P10">
    <cfRule type="colorScale" priority="2">
      <colorScale>
        <cfvo type="min"/>
        <cfvo type="percentile" val="50"/>
        <cfvo type="max"/>
        <color rgb="FFE67C73"/>
        <color rgb="FFFFD666"/>
        <color rgb="FF57BB8A"/>
      </colorScale>
    </cfRule>
  </conditionalFormatting>
  <conditionalFormatting sqref="Q4:Q10">
    <cfRule type="colorScale" priority="3">
      <colorScale>
        <cfvo type="min"/>
        <cfvo type="percentile" val="50"/>
        <cfvo type="max"/>
        <color rgb="FFE67C73"/>
        <color rgb="FFFFD666"/>
        <color rgb="FF57BB8A"/>
      </colorScale>
    </cfRule>
  </conditionalFormatting>
  <pageMargins left="0.7" right="0.7" top="0.75" bottom="0.75" header="0.3" footer="0.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rgb="FF0000FF"/>
    <outlinePr summaryBelow="0" summaryRight="0"/>
  </sheetPr>
  <dimension ref="A1:Q29"/>
  <sheetViews>
    <sheetView workbookViewId="0">
      <pane ySplit="2" topLeftCell="A3" activePane="bottomLeft" state="frozen"/>
      <selection pane="bottomLeft" activeCell="B4" sqref="B4"/>
    </sheetView>
  </sheetViews>
  <sheetFormatPr defaultColWidth="12.5703125" defaultRowHeight="15.75" customHeight="1" x14ac:dyDescent="0.2"/>
  <cols>
    <col min="1" max="1" width="19.85546875" customWidth="1"/>
    <col min="2" max="2" width="7.5703125" customWidth="1"/>
    <col min="3" max="3" width="8.28515625" customWidth="1"/>
    <col min="4" max="16" width="7.5703125" customWidth="1"/>
    <col min="17" max="17" width="45.85546875" customWidth="1"/>
  </cols>
  <sheetData>
    <row r="1" spans="1:17" ht="15" customHeight="1" x14ac:dyDescent="0.2">
      <c r="A1" s="189" t="s">
        <v>3559</v>
      </c>
      <c r="B1" s="179"/>
      <c r="C1" s="185"/>
      <c r="D1" s="190" t="s">
        <v>3531</v>
      </c>
      <c r="E1" s="179"/>
      <c r="F1" s="179"/>
      <c r="G1" s="179"/>
      <c r="H1" s="179"/>
      <c r="I1" s="179"/>
      <c r="J1" s="179"/>
      <c r="K1" s="179"/>
      <c r="L1" s="185"/>
      <c r="M1" s="191" t="s">
        <v>3532</v>
      </c>
      <c r="N1" s="179"/>
      <c r="O1" s="179"/>
      <c r="P1" s="185"/>
      <c r="Q1" s="192" t="s">
        <v>197</v>
      </c>
    </row>
    <row r="2" spans="1:17" ht="27" customHeight="1" x14ac:dyDescent="0.2">
      <c r="A2" s="97" t="s">
        <v>359</v>
      </c>
      <c r="B2" s="97" t="s">
        <v>3560</v>
      </c>
      <c r="C2" s="98" t="s">
        <v>361</v>
      </c>
      <c r="D2" s="99" t="s">
        <v>370</v>
      </c>
      <c r="E2" s="188" t="s">
        <v>3533</v>
      </c>
      <c r="F2" s="158"/>
      <c r="G2" s="188" t="s">
        <v>3534</v>
      </c>
      <c r="H2" s="158"/>
      <c r="I2" s="188" t="s">
        <v>3535</v>
      </c>
      <c r="J2" s="158"/>
      <c r="K2" s="188" t="s">
        <v>3536</v>
      </c>
      <c r="L2" s="166"/>
      <c r="M2" s="99" t="s">
        <v>363</v>
      </c>
      <c r="N2" s="29" t="s">
        <v>3539</v>
      </c>
      <c r="O2" s="29" t="s">
        <v>3561</v>
      </c>
      <c r="P2" s="35" t="s">
        <v>362</v>
      </c>
      <c r="Q2" s="179"/>
    </row>
    <row r="3" spans="1:17" ht="45" customHeight="1" x14ac:dyDescent="0.2">
      <c r="A3" s="82" t="s">
        <v>3562</v>
      </c>
      <c r="B3" s="24"/>
      <c r="C3" s="91">
        <f>7*5*1</f>
        <v>35</v>
      </c>
      <c r="D3" s="100">
        <f>SUM(E3+G3)</f>
        <v>74469</v>
      </c>
      <c r="E3" s="40">
        <v>56676</v>
      </c>
      <c r="F3" s="41" t="s">
        <v>593</v>
      </c>
      <c r="G3" s="52">
        <v>17793</v>
      </c>
      <c r="H3" s="31" t="s">
        <v>593</v>
      </c>
      <c r="I3" s="40">
        <v>769</v>
      </c>
      <c r="J3" s="41" t="s">
        <v>593</v>
      </c>
      <c r="K3" s="52">
        <v>1646</v>
      </c>
      <c r="L3" s="61" t="s">
        <v>593</v>
      </c>
      <c r="M3" s="52">
        <f>(701699+690903+701699+690903+690903)/C3</f>
        <v>99317.342857142852</v>
      </c>
      <c r="N3" s="101">
        <f t="shared" ref="N3:N28" si="0">M3/D3</f>
        <v>1.3336736475196773</v>
      </c>
      <c r="O3" s="31" t="s">
        <v>593</v>
      </c>
      <c r="P3" s="102">
        <f t="shared" ref="P3:P9" si="1">((N3/1.3)-1)*100</f>
        <v>2.59028057843671</v>
      </c>
      <c r="Q3" s="96" t="s">
        <v>3563</v>
      </c>
    </row>
    <row r="4" spans="1:17" ht="45" customHeight="1" x14ac:dyDescent="0.2">
      <c r="A4" s="82" t="s">
        <v>3564</v>
      </c>
      <c r="B4" s="24"/>
      <c r="C4" s="91">
        <f>7*3*2</f>
        <v>42</v>
      </c>
      <c r="D4" s="52">
        <f t="shared" ref="D4:D28" si="2">E4+G4</f>
        <v>74469</v>
      </c>
      <c r="E4" s="40">
        <v>56676</v>
      </c>
      <c r="F4" s="41">
        <f>E4/E3</f>
        <v>1</v>
      </c>
      <c r="G4" s="52">
        <v>17793</v>
      </c>
      <c r="H4" s="31">
        <f>G4/G3</f>
        <v>1</v>
      </c>
      <c r="I4" s="40">
        <v>769</v>
      </c>
      <c r="J4" s="41">
        <f>I4/I3</f>
        <v>1</v>
      </c>
      <c r="K4" s="52">
        <v>1646</v>
      </c>
      <c r="L4" s="61">
        <f>K4/K3</f>
        <v>1</v>
      </c>
      <c r="M4" s="52">
        <f>(1727258+1662486+1738054)/C4</f>
        <v>122090.42857142857</v>
      </c>
      <c r="N4" s="101">
        <f t="shared" si="0"/>
        <v>1.6394798986347145</v>
      </c>
      <c r="O4" s="31" t="s">
        <v>593</v>
      </c>
      <c r="P4" s="102">
        <f t="shared" si="1"/>
        <v>26.113838356516506</v>
      </c>
      <c r="Q4" s="96" t="s">
        <v>3565</v>
      </c>
    </row>
    <row r="5" spans="1:17" ht="45" customHeight="1" x14ac:dyDescent="0.2">
      <c r="A5" s="82" t="s">
        <v>3566</v>
      </c>
      <c r="B5" s="24"/>
      <c r="C5" s="91">
        <f>7*3*3</f>
        <v>63</v>
      </c>
      <c r="D5" s="52">
        <f t="shared" si="2"/>
        <v>74469</v>
      </c>
      <c r="E5" s="40">
        <v>56676</v>
      </c>
      <c r="F5" s="41">
        <f>E5/E3</f>
        <v>1</v>
      </c>
      <c r="G5" s="52">
        <v>17793</v>
      </c>
      <c r="H5" s="31">
        <f>G5/G3</f>
        <v>1</v>
      </c>
      <c r="I5" s="40">
        <v>769</v>
      </c>
      <c r="J5" s="41">
        <f>I5/I3</f>
        <v>1</v>
      </c>
      <c r="K5" s="52">
        <v>1646</v>
      </c>
      <c r="L5" s="61">
        <f>K5/K3</f>
        <v>1</v>
      </c>
      <c r="M5" s="52">
        <f>(2860772+2623274+2472138)/C5</f>
        <v>126288.63492063493</v>
      </c>
      <c r="N5" s="101">
        <f t="shared" si="0"/>
        <v>1.6958551198570537</v>
      </c>
      <c r="O5" s="31" t="s">
        <v>593</v>
      </c>
      <c r="P5" s="102">
        <f t="shared" si="1"/>
        <v>30.450393835157975</v>
      </c>
      <c r="Q5" s="96" t="s">
        <v>3567</v>
      </c>
    </row>
    <row r="6" spans="1:17" ht="45" customHeight="1" x14ac:dyDescent="0.2">
      <c r="A6" s="82" t="s">
        <v>3542</v>
      </c>
      <c r="B6" s="24"/>
      <c r="C6" s="91">
        <f>7*3*4</f>
        <v>84</v>
      </c>
      <c r="D6" s="52">
        <f t="shared" si="2"/>
        <v>74469</v>
      </c>
      <c r="E6" s="40">
        <v>56676</v>
      </c>
      <c r="F6" s="41">
        <f>E6/E3</f>
        <v>1</v>
      </c>
      <c r="G6" s="52">
        <v>17793</v>
      </c>
      <c r="H6" s="31">
        <f>G6/G3</f>
        <v>1</v>
      </c>
      <c r="I6" s="40">
        <v>769</v>
      </c>
      <c r="J6" s="41">
        <f>I6/I3</f>
        <v>1</v>
      </c>
      <c r="K6" s="52">
        <v>1646</v>
      </c>
      <c r="L6" s="61">
        <f>K6/K3</f>
        <v>1</v>
      </c>
      <c r="M6" s="52">
        <f>(3713605+3692015+3530084)/C6</f>
        <v>130186.95238095238</v>
      </c>
      <c r="N6" s="101">
        <f t="shared" si="0"/>
        <v>1.7482033111892517</v>
      </c>
      <c r="O6" s="31" t="s">
        <v>593</v>
      </c>
      <c r="P6" s="102">
        <f t="shared" si="1"/>
        <v>34.477177783788584</v>
      </c>
      <c r="Q6" s="96" t="s">
        <v>3568</v>
      </c>
    </row>
    <row r="7" spans="1:17" ht="45" customHeight="1" x14ac:dyDescent="0.2">
      <c r="A7" s="82" t="s">
        <v>3569</v>
      </c>
      <c r="B7" s="24"/>
      <c r="C7" s="91">
        <f>7*3*5</f>
        <v>105</v>
      </c>
      <c r="D7" s="52">
        <f t="shared" si="2"/>
        <v>74469</v>
      </c>
      <c r="E7" s="40">
        <v>56676</v>
      </c>
      <c r="F7" s="41">
        <f t="shared" ref="F7:F8" si="3">E7/E3</f>
        <v>1</v>
      </c>
      <c r="G7" s="52">
        <v>17793</v>
      </c>
      <c r="H7" s="31">
        <f t="shared" ref="H7:H8" si="4">G7/G3</f>
        <v>1</v>
      </c>
      <c r="I7" s="40">
        <v>769</v>
      </c>
      <c r="J7" s="41">
        <f t="shared" ref="J7:J8" si="5">I7/I3</f>
        <v>1</v>
      </c>
      <c r="K7" s="52">
        <v>1646</v>
      </c>
      <c r="L7" s="61">
        <f t="shared" ref="L7:L8" si="6">K7/K3</f>
        <v>1</v>
      </c>
      <c r="M7" s="52">
        <f>(5009049+4674393+4490872)/C7</f>
        <v>134993.46666666667</v>
      </c>
      <c r="N7" s="101">
        <f t="shared" si="0"/>
        <v>1.8127471386303922</v>
      </c>
      <c r="O7" s="31" t="s">
        <v>593</v>
      </c>
      <c r="P7" s="102">
        <f t="shared" si="1"/>
        <v>39.442087586953242</v>
      </c>
      <c r="Q7" s="95" t="s">
        <v>3570</v>
      </c>
    </row>
    <row r="8" spans="1:17" ht="45" customHeight="1" x14ac:dyDescent="0.2">
      <c r="A8" s="103" t="s">
        <v>3571</v>
      </c>
      <c r="B8" s="104"/>
      <c r="C8" s="105">
        <f>6*3*5</f>
        <v>90</v>
      </c>
      <c r="D8" s="106">
        <f t="shared" si="2"/>
        <v>74469</v>
      </c>
      <c r="E8" s="107">
        <v>56676</v>
      </c>
      <c r="F8" s="108">
        <f t="shared" si="3"/>
        <v>1</v>
      </c>
      <c r="G8" s="106">
        <v>17793</v>
      </c>
      <c r="H8" s="109">
        <f t="shared" si="4"/>
        <v>1</v>
      </c>
      <c r="I8" s="107">
        <v>769</v>
      </c>
      <c r="J8" s="108">
        <f t="shared" si="5"/>
        <v>1</v>
      </c>
      <c r="K8" s="106">
        <v>1646</v>
      </c>
      <c r="L8" s="110">
        <f t="shared" si="6"/>
        <v>1</v>
      </c>
      <c r="M8" s="106">
        <f>(2795999+2839181+2860772)/C8</f>
        <v>94399.46666666666</v>
      </c>
      <c r="N8" s="109">
        <f t="shared" si="0"/>
        <v>1.2676344071582357</v>
      </c>
      <c r="O8" s="109" t="s">
        <v>593</v>
      </c>
      <c r="P8" s="111">
        <f t="shared" si="1"/>
        <v>-2.489660987828024</v>
      </c>
      <c r="Q8" s="112" t="s">
        <v>3572</v>
      </c>
    </row>
    <row r="9" spans="1:17" ht="45" customHeight="1" x14ac:dyDescent="0.2">
      <c r="A9" s="82" t="s">
        <v>3573</v>
      </c>
      <c r="B9" s="24"/>
      <c r="C9" s="91">
        <f>7*3*6</f>
        <v>126</v>
      </c>
      <c r="D9" s="52">
        <f t="shared" si="2"/>
        <v>74469</v>
      </c>
      <c r="E9" s="40">
        <v>56676</v>
      </c>
      <c r="F9" s="41">
        <f>E9/E3</f>
        <v>1</v>
      </c>
      <c r="G9" s="52">
        <v>17793</v>
      </c>
      <c r="H9" s="31">
        <f>G9/G3</f>
        <v>1</v>
      </c>
      <c r="I9" s="40">
        <v>769</v>
      </c>
      <c r="J9" s="41">
        <f>I9/I3</f>
        <v>1</v>
      </c>
      <c r="K9" s="52">
        <v>1646</v>
      </c>
      <c r="L9" s="61">
        <f>K9/K3</f>
        <v>1</v>
      </c>
      <c r="M9" s="52">
        <f>(5516431+5268138+5127798)/C9</f>
        <v>126288.62698412698</v>
      </c>
      <c r="N9" s="31">
        <f t="shared" si="0"/>
        <v>1.6958550132823991</v>
      </c>
      <c r="O9" s="101">
        <f>M9/M7</f>
        <v>0.93551658537643034</v>
      </c>
      <c r="P9" s="102">
        <f t="shared" si="1"/>
        <v>30.450385637107622</v>
      </c>
      <c r="Q9" s="96" t="s">
        <v>3574</v>
      </c>
    </row>
    <row r="10" spans="1:17" ht="45" customHeight="1" x14ac:dyDescent="0.2">
      <c r="A10" s="113" t="s">
        <v>3575</v>
      </c>
      <c r="B10" s="114"/>
      <c r="C10" s="115">
        <f>6*3*5</f>
        <v>90</v>
      </c>
      <c r="D10" s="116">
        <f t="shared" si="2"/>
        <v>93085</v>
      </c>
      <c r="E10" s="117">
        <v>70845</v>
      </c>
      <c r="F10" s="118">
        <f>E10/E3</f>
        <v>1.25</v>
      </c>
      <c r="G10" s="116">
        <v>22240</v>
      </c>
      <c r="H10" s="119">
        <f>G10/G3</f>
        <v>1.2499297476535716</v>
      </c>
      <c r="I10" s="117">
        <v>961</v>
      </c>
      <c r="J10" s="118">
        <f>I10/I3</f>
        <v>1.2496749024707412</v>
      </c>
      <c r="K10" s="116">
        <v>2058</v>
      </c>
      <c r="L10" s="120">
        <f>K10/K3</f>
        <v>1.2503037667071688</v>
      </c>
      <c r="M10" s="116">
        <f>(4987458+4793142+5052231)/C10</f>
        <v>164809.23333333334</v>
      </c>
      <c r="N10" s="119">
        <f t="shared" si="0"/>
        <v>1.770524072979893</v>
      </c>
      <c r="O10" s="121">
        <f>M10/M7</f>
        <v>1.2208682197953282</v>
      </c>
      <c r="P10" s="122">
        <f t="shared" ref="P10:P28" si="7">((O10/F10)-1)*100</f>
        <v>-2.3305424163737376</v>
      </c>
      <c r="Q10" s="123"/>
    </row>
    <row r="11" spans="1:17" ht="45" customHeight="1" x14ac:dyDescent="0.2">
      <c r="A11" s="82" t="s">
        <v>3576</v>
      </c>
      <c r="B11" s="24"/>
      <c r="C11" s="91">
        <f t="shared" ref="C11:C13" si="8">7*3*5</f>
        <v>105</v>
      </c>
      <c r="D11" s="52">
        <f t="shared" si="2"/>
        <v>100533</v>
      </c>
      <c r="E11" s="40">
        <v>76513</v>
      </c>
      <c r="F11" s="41">
        <f>E11/E3</f>
        <v>1.3500070576610912</v>
      </c>
      <c r="G11" s="52">
        <v>24020</v>
      </c>
      <c r="H11" s="31">
        <f>G11/G3</f>
        <v>1.3499690889675715</v>
      </c>
      <c r="I11" s="40">
        <v>1038</v>
      </c>
      <c r="J11" s="41">
        <f>I11/I3</f>
        <v>1.3498049414824447</v>
      </c>
      <c r="K11" s="52">
        <v>2223</v>
      </c>
      <c r="L11" s="61">
        <f>K11/K3</f>
        <v>1.3505467800729041</v>
      </c>
      <c r="M11" s="52">
        <f>(6455628+6423242+6185744)/C11</f>
        <v>181567.75238095238</v>
      </c>
      <c r="N11" s="31">
        <f t="shared" si="0"/>
        <v>1.8060512705375587</v>
      </c>
      <c r="O11" s="101">
        <f>M11/M7</f>
        <v>1.3450114058429916</v>
      </c>
      <c r="P11" s="124">
        <f t="shared" si="7"/>
        <v>-0.37004634825795746</v>
      </c>
      <c r="Q11" s="96"/>
    </row>
    <row r="12" spans="1:17" ht="45" customHeight="1" x14ac:dyDescent="0.2">
      <c r="A12" s="82" t="s">
        <v>3577</v>
      </c>
      <c r="B12" s="24"/>
      <c r="C12" s="91">
        <f t="shared" si="8"/>
        <v>105</v>
      </c>
      <c r="D12" s="52">
        <f t="shared" si="2"/>
        <v>96809</v>
      </c>
      <c r="E12" s="40">
        <v>73679</v>
      </c>
      <c r="F12" s="41">
        <f>E12/E3</f>
        <v>1.3000035288305456</v>
      </c>
      <c r="G12" s="52">
        <v>23130</v>
      </c>
      <c r="H12" s="31">
        <f>G12/G3</f>
        <v>1.2999494183105715</v>
      </c>
      <c r="I12" s="40">
        <v>999</v>
      </c>
      <c r="J12" s="41">
        <f>I12/I3</f>
        <v>1.2990897269180754</v>
      </c>
      <c r="K12" s="52">
        <v>2141</v>
      </c>
      <c r="L12" s="61">
        <f>K12/K3</f>
        <v>1.3007290400972054</v>
      </c>
      <c r="M12" s="52">
        <f>(5926655+5818702+6110176)/C12</f>
        <v>170052.69523809524</v>
      </c>
      <c r="N12" s="31">
        <f t="shared" si="0"/>
        <v>1.7565794010690663</v>
      </c>
      <c r="O12" s="101">
        <f>M12/M7</f>
        <v>1.2597105581264814</v>
      </c>
      <c r="P12" s="102">
        <f t="shared" si="7"/>
        <v>-3.0994508715150082</v>
      </c>
      <c r="Q12" s="96"/>
    </row>
    <row r="13" spans="1:17" ht="45" customHeight="1" x14ac:dyDescent="0.2">
      <c r="A13" s="82" t="s">
        <v>3578</v>
      </c>
      <c r="B13" s="24"/>
      <c r="C13" s="91">
        <f t="shared" si="8"/>
        <v>105</v>
      </c>
      <c r="D13" s="52">
        <f t="shared" si="2"/>
        <v>90852</v>
      </c>
      <c r="E13" s="40">
        <v>69145</v>
      </c>
      <c r="F13" s="41">
        <f>E13/E3</f>
        <v>1.2200049403627637</v>
      </c>
      <c r="G13" s="52">
        <v>21707</v>
      </c>
      <c r="H13" s="31">
        <f>G13/G3</f>
        <v>1.2199741471365144</v>
      </c>
      <c r="I13" s="40">
        <v>938</v>
      </c>
      <c r="J13" s="41">
        <f>I13/I3</f>
        <v>1.2197659297789336</v>
      </c>
      <c r="K13" s="52">
        <v>2009</v>
      </c>
      <c r="L13" s="61">
        <f>K13/K3</f>
        <v>1.2205346294046173</v>
      </c>
      <c r="M13" s="52">
        <f>(5613590+6066995+6013018)/C13</f>
        <v>168510.50476190477</v>
      </c>
      <c r="N13" s="31">
        <f t="shared" si="0"/>
        <v>1.8547803544435431</v>
      </c>
      <c r="O13" s="101">
        <f>M13/M7</f>
        <v>1.2482863720953268</v>
      </c>
      <c r="P13" s="102">
        <f t="shared" si="7"/>
        <v>2.3181407547541388</v>
      </c>
      <c r="Q13" s="96"/>
    </row>
    <row r="14" spans="1:17" ht="45" customHeight="1" x14ac:dyDescent="0.2">
      <c r="A14" s="82" t="s">
        <v>3579</v>
      </c>
      <c r="B14" s="24"/>
      <c r="C14" s="91">
        <f>5*3*5</f>
        <v>75</v>
      </c>
      <c r="D14" s="52">
        <f t="shared" si="2"/>
        <v>147633</v>
      </c>
      <c r="E14" s="40">
        <v>112360</v>
      </c>
      <c r="F14" s="41">
        <f>E14/E3</f>
        <v>1.9824970004940363</v>
      </c>
      <c r="G14" s="52">
        <v>35273</v>
      </c>
      <c r="H14" s="31">
        <f>G14/G3</f>
        <v>1.982408812454336</v>
      </c>
      <c r="I14" s="40">
        <v>1524</v>
      </c>
      <c r="J14" s="41">
        <f>I14/I3</f>
        <v>1.9817945383615085</v>
      </c>
      <c r="K14" s="52">
        <v>3264</v>
      </c>
      <c r="L14" s="61">
        <f>K14/K3</f>
        <v>1.9829890643985419</v>
      </c>
      <c r="M14" s="52">
        <f>(7027782+6865852+6477219)/C14</f>
        <v>271611.37333333335</v>
      </c>
      <c r="N14" s="31">
        <f t="shared" si="0"/>
        <v>1.8397741245746775</v>
      </c>
      <c r="O14" s="101">
        <f>M14/M7</f>
        <v>2.012033471249473</v>
      </c>
      <c r="P14" s="102">
        <f t="shared" si="7"/>
        <v>1.4898620652679995</v>
      </c>
      <c r="Q14" s="96"/>
    </row>
    <row r="15" spans="1:17" ht="45" customHeight="1" x14ac:dyDescent="0.2">
      <c r="A15" s="125" t="s">
        <v>3580</v>
      </c>
      <c r="B15" s="126"/>
      <c r="C15" s="127">
        <f>4*3*5</f>
        <v>60</v>
      </c>
      <c r="D15" s="128">
        <f t="shared" si="2"/>
        <v>169778</v>
      </c>
      <c r="E15" s="129">
        <v>129214</v>
      </c>
      <c r="F15" s="130">
        <f>E15/E3</f>
        <v>2.2798715505681417</v>
      </c>
      <c r="G15" s="128">
        <v>40564</v>
      </c>
      <c r="H15" s="131">
        <f>G15/G3</f>
        <v>2.2797729444163437</v>
      </c>
      <c r="I15" s="129">
        <v>1752</v>
      </c>
      <c r="J15" s="130">
        <f>I15/I3</f>
        <v>2.2782834850455136</v>
      </c>
      <c r="K15" s="128">
        <v>3754</v>
      </c>
      <c r="L15" s="132">
        <f>K15/K3</f>
        <v>2.2806804374240581</v>
      </c>
      <c r="M15" s="128">
        <f>(5743134+5645976+5807906)/C15</f>
        <v>286616.93333333335</v>
      </c>
      <c r="N15" s="131">
        <f t="shared" si="0"/>
        <v>1.6881865337872595</v>
      </c>
      <c r="O15" s="133">
        <f>M15/M9</f>
        <v>2.2695387556106521</v>
      </c>
      <c r="P15" s="134">
        <f t="shared" si="7"/>
        <v>-0.45321829446551831</v>
      </c>
      <c r="Q15" s="135" t="s">
        <v>3581</v>
      </c>
    </row>
    <row r="16" spans="1:17" ht="45" customHeight="1" x14ac:dyDescent="0.2">
      <c r="A16" s="82" t="s">
        <v>3582</v>
      </c>
      <c r="B16" s="24"/>
      <c r="C16" s="91">
        <f t="shared" ref="C16:C17" si="9">10*3*5</f>
        <v>150</v>
      </c>
      <c r="D16" s="52">
        <f t="shared" si="2"/>
        <v>44682</v>
      </c>
      <c r="E16" s="40">
        <v>34006</v>
      </c>
      <c r="F16" s="41">
        <f>E16/E3</f>
        <v>0.60000705766109108</v>
      </c>
      <c r="G16" s="52">
        <v>10676</v>
      </c>
      <c r="H16" s="31">
        <f>G16/G3</f>
        <v>0.60001124037542852</v>
      </c>
      <c r="I16" s="40">
        <v>461</v>
      </c>
      <c r="J16" s="41">
        <f>I16/I3</f>
        <v>0.59947984395318599</v>
      </c>
      <c r="K16" s="52">
        <v>988</v>
      </c>
      <c r="L16" s="61">
        <f>K16/K3</f>
        <v>0.60024301336573516</v>
      </c>
      <c r="M16" s="116">
        <f>(4242578+4426099+4123829)/C16</f>
        <v>85283.373333333337</v>
      </c>
      <c r="N16" s="119">
        <f t="shared" si="0"/>
        <v>1.9086740372707878</v>
      </c>
      <c r="O16" s="121">
        <f t="shared" ref="O16:O17" si="10">M16/M7</f>
        <v>0.6317592653866706</v>
      </c>
      <c r="P16" s="122">
        <f t="shared" si="7"/>
        <v>5.2919723726840617</v>
      </c>
      <c r="Q16" s="96" t="s">
        <v>3583</v>
      </c>
    </row>
    <row r="17" spans="1:17" ht="45" customHeight="1" x14ac:dyDescent="0.2">
      <c r="A17" s="82" t="s">
        <v>3584</v>
      </c>
      <c r="B17" s="24"/>
      <c r="C17" s="91">
        <f t="shared" si="9"/>
        <v>150</v>
      </c>
      <c r="D17" s="52">
        <f t="shared" si="2"/>
        <v>55853</v>
      </c>
      <c r="E17" s="40">
        <v>42508</v>
      </c>
      <c r="F17" s="41">
        <f>E17/E3</f>
        <v>0.75001764415272776</v>
      </c>
      <c r="G17" s="52">
        <v>13345</v>
      </c>
      <c r="H17" s="31">
        <f>G17/G3</f>
        <v>0.75001405046928571</v>
      </c>
      <c r="I17" s="40">
        <v>577</v>
      </c>
      <c r="J17" s="41">
        <f>I17/I3</f>
        <v>0.7503250975292588</v>
      </c>
      <c r="K17" s="52">
        <v>1235</v>
      </c>
      <c r="L17" s="61">
        <f>K17/K3</f>
        <v>0.75030376670716892</v>
      </c>
      <c r="M17" s="52">
        <f>(3519289+3530084+3486903)/C17</f>
        <v>70241.84</v>
      </c>
      <c r="N17" s="119">
        <f t="shared" si="0"/>
        <v>1.2576198234651674</v>
      </c>
      <c r="O17" s="121">
        <f t="shared" si="10"/>
        <v>0.74409149204232794</v>
      </c>
      <c r="P17" s="122">
        <f t="shared" si="7"/>
        <v>-0.79013502636919863</v>
      </c>
      <c r="Q17" s="96" t="s">
        <v>3585</v>
      </c>
    </row>
    <row r="18" spans="1:17" ht="45" customHeight="1" x14ac:dyDescent="0.2">
      <c r="A18" s="82" t="s">
        <v>3586</v>
      </c>
      <c r="B18" s="82"/>
      <c r="C18" s="91">
        <f t="shared" ref="C18:C20" si="11">7*3*5</f>
        <v>105</v>
      </c>
      <c r="D18" s="52">
        <f t="shared" si="2"/>
        <v>74469</v>
      </c>
      <c r="E18" s="40">
        <v>56676</v>
      </c>
      <c r="F18" s="41">
        <f>E18/E3</f>
        <v>1</v>
      </c>
      <c r="G18" s="52">
        <v>17793</v>
      </c>
      <c r="H18" s="31">
        <f>G18/G3</f>
        <v>1</v>
      </c>
      <c r="I18" s="40">
        <v>769</v>
      </c>
      <c r="J18" s="41">
        <f>I18/I3</f>
        <v>1</v>
      </c>
      <c r="K18" s="52">
        <v>1646</v>
      </c>
      <c r="L18" s="61">
        <f>K18/K3</f>
        <v>1</v>
      </c>
      <c r="M18" s="52">
        <f>(4404509+4339737+4847119)/C18</f>
        <v>129441.57142857143</v>
      </c>
      <c r="N18" s="31">
        <f t="shared" si="0"/>
        <v>1.738194032799842</v>
      </c>
      <c r="O18" s="101">
        <f>M18/M7</f>
        <v>0.95887285973769165</v>
      </c>
      <c r="P18" s="102">
        <f t="shared" si="7"/>
        <v>-4.1127140262308348</v>
      </c>
      <c r="Q18" s="96" t="s">
        <v>3587</v>
      </c>
    </row>
    <row r="19" spans="1:17" ht="45" customHeight="1" x14ac:dyDescent="0.2">
      <c r="A19" s="82" t="s">
        <v>3588</v>
      </c>
      <c r="B19" s="82"/>
      <c r="C19" s="91">
        <f t="shared" si="11"/>
        <v>105</v>
      </c>
      <c r="D19" s="52">
        <f t="shared" si="2"/>
        <v>74469</v>
      </c>
      <c r="E19" s="40">
        <v>56676</v>
      </c>
      <c r="F19" s="41">
        <f>E19/E3</f>
        <v>1</v>
      </c>
      <c r="G19" s="52">
        <v>17793</v>
      </c>
      <c r="H19" s="31">
        <f>G19/G3</f>
        <v>1</v>
      </c>
      <c r="I19" s="40">
        <v>769</v>
      </c>
      <c r="J19" s="41">
        <f>I19/I3</f>
        <v>1</v>
      </c>
      <c r="K19" s="52">
        <v>1646</v>
      </c>
      <c r="L19" s="61">
        <f>K19/K3</f>
        <v>1</v>
      </c>
      <c r="M19" s="52">
        <f>(4426099+4285760+4361327)/C19</f>
        <v>124506.53333333334</v>
      </c>
      <c r="N19" s="31">
        <f t="shared" si="0"/>
        <v>1.6719243354057842</v>
      </c>
      <c r="O19" s="101">
        <f>M19/M7</f>
        <v>0.92231525278754234</v>
      </c>
      <c r="P19" s="102">
        <f t="shared" si="7"/>
        <v>-7.7684747212457665</v>
      </c>
      <c r="Q19" s="96" t="s">
        <v>3589</v>
      </c>
    </row>
    <row r="20" spans="1:17" ht="45" customHeight="1" x14ac:dyDescent="0.2">
      <c r="A20" s="82" t="s">
        <v>3590</v>
      </c>
      <c r="B20" s="24"/>
      <c r="C20" s="91">
        <f t="shared" si="11"/>
        <v>105</v>
      </c>
      <c r="D20" s="52">
        <f t="shared" si="2"/>
        <v>100533</v>
      </c>
      <c r="E20" s="40">
        <v>76513</v>
      </c>
      <c r="F20" s="41">
        <f t="shared" ref="F20:F21" si="12">E20/E3</f>
        <v>1.3500070576610912</v>
      </c>
      <c r="G20" s="52">
        <v>24020</v>
      </c>
      <c r="H20" s="31">
        <f t="shared" ref="H20:H21" si="13">G20/G3</f>
        <v>1.3499690889675715</v>
      </c>
      <c r="I20" s="40">
        <v>1038</v>
      </c>
      <c r="J20" s="41">
        <f t="shared" ref="J20:J21" si="14">I20/I3</f>
        <v>1.3498049414824447</v>
      </c>
      <c r="K20" s="52">
        <v>2223</v>
      </c>
      <c r="L20" s="61">
        <f t="shared" ref="L20:L21" si="15">K20/K3</f>
        <v>1.3505467800729041</v>
      </c>
      <c r="M20" s="52">
        <f>(5797111+5905064+6250516)/C20</f>
        <v>170978.00952380954</v>
      </c>
      <c r="N20" s="31">
        <f t="shared" si="0"/>
        <v>1.7007152827808734</v>
      </c>
      <c r="O20" s="101">
        <f t="shared" ref="O20:O21" si="16">M20/M7</f>
        <v>1.2665650697451742</v>
      </c>
      <c r="P20" s="102">
        <f t="shared" si="7"/>
        <v>-6.180855680894104</v>
      </c>
      <c r="Q20" s="96" t="s">
        <v>3591</v>
      </c>
    </row>
    <row r="21" spans="1:17" ht="45" customHeight="1" x14ac:dyDescent="0.2">
      <c r="A21" s="82" t="s">
        <v>3592</v>
      </c>
      <c r="B21" s="24"/>
      <c r="C21" s="91">
        <f>6*3*5</f>
        <v>90</v>
      </c>
      <c r="D21" s="52">
        <f t="shared" si="2"/>
        <v>100533</v>
      </c>
      <c r="E21" s="40">
        <v>76513</v>
      </c>
      <c r="F21" s="41">
        <f t="shared" si="12"/>
        <v>1.3500070576610912</v>
      </c>
      <c r="G21" s="52">
        <v>24020</v>
      </c>
      <c r="H21" s="31">
        <f t="shared" si="13"/>
        <v>1.3499690889675715</v>
      </c>
      <c r="I21" s="40">
        <v>1038</v>
      </c>
      <c r="J21" s="41">
        <f t="shared" si="14"/>
        <v>1.3498049414824447</v>
      </c>
      <c r="K21" s="52">
        <v>2223</v>
      </c>
      <c r="L21" s="61">
        <f t="shared" si="15"/>
        <v>1.3505467800729041</v>
      </c>
      <c r="M21" s="52">
        <f>(3692015+3530804+3724401)/C21</f>
        <v>121635.77777777778</v>
      </c>
      <c r="N21" s="31">
        <f t="shared" si="0"/>
        <v>1.2099089630049613</v>
      </c>
      <c r="O21" s="101">
        <f t="shared" si="16"/>
        <v>1.2885218748881822</v>
      </c>
      <c r="P21" s="102">
        <f t="shared" si="7"/>
        <v>-4.5544341730652249</v>
      </c>
      <c r="Q21" s="96" t="s">
        <v>3593</v>
      </c>
    </row>
    <row r="22" spans="1:17" ht="45" customHeight="1" x14ac:dyDescent="0.2">
      <c r="A22" s="82" t="s">
        <v>3594</v>
      </c>
      <c r="B22" s="27"/>
      <c r="C22" s="91">
        <f>7*2*5</f>
        <v>70</v>
      </c>
      <c r="D22" s="52">
        <f t="shared" si="2"/>
        <v>74469</v>
      </c>
      <c r="E22" s="40">
        <v>56676</v>
      </c>
      <c r="F22" s="41">
        <f>E22/E3</f>
        <v>1</v>
      </c>
      <c r="G22" s="52">
        <v>17793</v>
      </c>
      <c r="H22" s="31">
        <f>G22/G3</f>
        <v>1</v>
      </c>
      <c r="I22" s="40">
        <v>769</v>
      </c>
      <c r="J22" s="41">
        <f>I22/I3</f>
        <v>1</v>
      </c>
      <c r="K22" s="52">
        <v>1646</v>
      </c>
      <c r="L22" s="61">
        <f>K22/K3</f>
        <v>1</v>
      </c>
      <c r="M22" s="52">
        <f>(5192570+4847119)/C22</f>
        <v>143424.12857142856</v>
      </c>
      <c r="N22" s="31">
        <f t="shared" si="0"/>
        <v>1.925957493338551</v>
      </c>
      <c r="O22" s="101">
        <f>M22/M7</f>
        <v>1.0624523698289736</v>
      </c>
      <c r="P22" s="102">
        <f t="shared" si="7"/>
        <v>6.245236982897362</v>
      </c>
      <c r="Q22" s="96" t="s">
        <v>3595</v>
      </c>
    </row>
    <row r="23" spans="1:17" ht="45" customHeight="1" x14ac:dyDescent="0.2">
      <c r="A23" s="82" t="s">
        <v>3596</v>
      </c>
      <c r="B23" s="24"/>
      <c r="C23" s="91">
        <f>6*3*5</f>
        <v>90</v>
      </c>
      <c r="D23" s="52">
        <f t="shared" si="2"/>
        <v>92951</v>
      </c>
      <c r="E23" s="40">
        <v>70845</v>
      </c>
      <c r="F23" s="41">
        <f>E23/E3</f>
        <v>1.25</v>
      </c>
      <c r="G23" s="52">
        <v>22106</v>
      </c>
      <c r="H23" s="31">
        <f>G23/G3</f>
        <v>1.2423986961164504</v>
      </c>
      <c r="I23" s="40">
        <v>769</v>
      </c>
      <c r="J23" s="41">
        <f>I23/I3</f>
        <v>1</v>
      </c>
      <c r="K23" s="52">
        <v>1646</v>
      </c>
      <c r="L23" s="61">
        <f>K23/K3</f>
        <v>1</v>
      </c>
      <c r="M23" s="52">
        <f>(4145420+4210192+4231783)/C23</f>
        <v>139859.94444444444</v>
      </c>
      <c r="N23" s="31">
        <f t="shared" si="0"/>
        <v>1.5046631498794465</v>
      </c>
      <c r="O23" s="101">
        <f>M23/M7</f>
        <v>1.0360497281679146</v>
      </c>
      <c r="P23" s="102">
        <f t="shared" si="7"/>
        <v>-17.116021746566833</v>
      </c>
      <c r="Q23" s="96" t="s">
        <v>3597</v>
      </c>
    </row>
    <row r="24" spans="1:17" ht="45" customHeight="1" x14ac:dyDescent="0.2">
      <c r="A24" s="82" t="s">
        <v>3598</v>
      </c>
      <c r="B24" s="24"/>
      <c r="C24" s="91">
        <f>7*3*5</f>
        <v>105</v>
      </c>
      <c r="D24" s="52">
        <f t="shared" si="2"/>
        <v>86179</v>
      </c>
      <c r="E24" s="40">
        <v>65718</v>
      </c>
      <c r="F24" s="41">
        <f t="shared" ref="F24:F25" si="17">E24/E3</f>
        <v>1.1595384289646411</v>
      </c>
      <c r="G24" s="52">
        <v>20461</v>
      </c>
      <c r="H24" s="31">
        <f t="shared" ref="H24:H25" si="18">G24/G3</f>
        <v>1.1499466082167145</v>
      </c>
      <c r="I24" s="40">
        <v>884</v>
      </c>
      <c r="J24" s="41">
        <f t="shared" ref="J24:J25" si="19">I24/I3</f>
        <v>1.1495448634590377</v>
      </c>
      <c r="K24" s="52">
        <v>1894</v>
      </c>
      <c r="L24" s="61">
        <f t="shared" ref="L24:L25" si="20">K24/K3</f>
        <v>1.1506682867557716</v>
      </c>
      <c r="M24" s="52">
        <f>(5669953+5462454+5505636)/C24</f>
        <v>158457.55238095237</v>
      </c>
      <c r="N24" s="31">
        <f t="shared" si="0"/>
        <v>1.8387026117842209</v>
      </c>
      <c r="O24" s="101">
        <f>M24/M7</f>
        <v>1.1738164541860721</v>
      </c>
      <c r="P24" s="102">
        <f t="shared" si="7"/>
        <v>1.231354206533708</v>
      </c>
      <c r="Q24" s="96" t="s">
        <v>3585</v>
      </c>
    </row>
    <row r="25" spans="1:17" ht="45" customHeight="1" x14ac:dyDescent="0.2">
      <c r="A25" s="82" t="s">
        <v>3599</v>
      </c>
      <c r="B25" s="24"/>
      <c r="C25" s="91">
        <f>5*1*5</f>
        <v>25</v>
      </c>
      <c r="D25" s="52">
        <f t="shared" si="2"/>
        <v>111702</v>
      </c>
      <c r="E25" s="40">
        <v>85014</v>
      </c>
      <c r="F25" s="41">
        <f t="shared" si="17"/>
        <v>1.5</v>
      </c>
      <c r="G25" s="52">
        <v>26688</v>
      </c>
      <c r="H25" s="31">
        <f t="shared" si="18"/>
        <v>1.499915697184286</v>
      </c>
      <c r="I25" s="40">
        <v>1153</v>
      </c>
      <c r="J25" s="41">
        <f t="shared" si="19"/>
        <v>1.4993498049414824</v>
      </c>
      <c r="K25" s="52">
        <v>2469</v>
      </c>
      <c r="L25" s="61">
        <f t="shared" si="20"/>
        <v>1.5</v>
      </c>
      <c r="M25" s="52">
        <f>4350532/C25</f>
        <v>174021.28</v>
      </c>
      <c r="N25" s="31">
        <f t="shared" si="0"/>
        <v>1.557906572845607</v>
      </c>
      <c r="O25" s="101">
        <f>M25/M9</f>
        <v>1.377964779218579</v>
      </c>
      <c r="P25" s="102">
        <f t="shared" si="7"/>
        <v>-8.1356813854280734</v>
      </c>
      <c r="Q25" s="96" t="s">
        <v>3600</v>
      </c>
    </row>
    <row r="26" spans="1:17" ht="45" customHeight="1" x14ac:dyDescent="0.2">
      <c r="A26" s="82" t="s">
        <v>3601</v>
      </c>
      <c r="B26" s="27"/>
      <c r="C26" s="91">
        <f>6*3*5</f>
        <v>90</v>
      </c>
      <c r="D26" s="52">
        <f t="shared" si="2"/>
        <v>88638</v>
      </c>
      <c r="E26" s="40">
        <v>70845</v>
      </c>
      <c r="F26" s="41">
        <f>E26/E3</f>
        <v>1.25</v>
      </c>
      <c r="G26" s="52">
        <v>17793</v>
      </c>
      <c r="H26" s="31">
        <f>G26/G3</f>
        <v>1</v>
      </c>
      <c r="I26" s="40">
        <v>769</v>
      </c>
      <c r="J26" s="41">
        <f>I26/I3</f>
        <v>1</v>
      </c>
      <c r="K26" s="52">
        <v>2058</v>
      </c>
      <c r="L26" s="61">
        <f>K26/K3</f>
        <v>1.2503037667071688</v>
      </c>
      <c r="M26" s="52">
        <f>(4318146+4145420+4318146)/C26</f>
        <v>142019.02222222224</v>
      </c>
      <c r="N26" s="31">
        <f t="shared" si="0"/>
        <v>1.6022363119905936</v>
      </c>
      <c r="O26" s="101">
        <f>M26/M7</f>
        <v>1.0520436709200414</v>
      </c>
      <c r="P26" s="102">
        <f t="shared" si="7"/>
        <v>-15.836506326396693</v>
      </c>
      <c r="Q26" s="96" t="s">
        <v>3597</v>
      </c>
    </row>
    <row r="27" spans="1:17" ht="45" customHeight="1" x14ac:dyDescent="0.2">
      <c r="A27" s="82" t="s">
        <v>3602</v>
      </c>
      <c r="B27" s="24"/>
      <c r="C27" s="91">
        <f t="shared" ref="C27:C28" si="21">7*3*5</f>
        <v>105</v>
      </c>
      <c r="D27" s="52">
        <f t="shared" si="2"/>
        <v>106522.27799999999</v>
      </c>
      <c r="E27" s="40">
        <f>E3*1.418</f>
        <v>80366.567999999999</v>
      </c>
      <c r="F27" s="41">
        <f>E27/E3</f>
        <v>1.4179999999999999</v>
      </c>
      <c r="G27" s="52">
        <f>G3*1.47</f>
        <v>26155.71</v>
      </c>
      <c r="H27" s="31">
        <f>G27/G3</f>
        <v>1.47</v>
      </c>
      <c r="I27" s="40">
        <f>I3*1.05</f>
        <v>807.45</v>
      </c>
      <c r="J27" s="41">
        <f>I27/I3</f>
        <v>1.05</v>
      </c>
      <c r="K27" s="52">
        <f>K3*1.418</f>
        <v>2334.0279999999998</v>
      </c>
      <c r="L27" s="61">
        <f>K27/K3</f>
        <v>1.4179999999999999</v>
      </c>
      <c r="M27" s="52">
        <f>M7*1.447</f>
        <v>195335.5462666667</v>
      </c>
      <c r="N27" s="31">
        <f t="shared" si="0"/>
        <v>1.8337529945300899</v>
      </c>
      <c r="O27" s="101">
        <f>M27/M7</f>
        <v>1.4470000000000001</v>
      </c>
      <c r="P27" s="102">
        <f t="shared" si="7"/>
        <v>2.0451339915373845</v>
      </c>
      <c r="Q27" s="96" t="s">
        <v>3603</v>
      </c>
    </row>
    <row r="28" spans="1:17" ht="45" customHeight="1" x14ac:dyDescent="0.2">
      <c r="A28" s="82" t="s">
        <v>3604</v>
      </c>
      <c r="B28" s="24"/>
      <c r="C28" s="91">
        <f t="shared" si="21"/>
        <v>105</v>
      </c>
      <c r="D28" s="52">
        <f t="shared" si="2"/>
        <v>81916</v>
      </c>
      <c r="E28" s="40">
        <v>62344</v>
      </c>
      <c r="F28" s="41">
        <f>E28/E3</f>
        <v>1.1000070576610912</v>
      </c>
      <c r="G28" s="52">
        <v>19572</v>
      </c>
      <c r="H28" s="31">
        <f>G28/G3</f>
        <v>1.0999831394368571</v>
      </c>
      <c r="I28" s="40">
        <v>846</v>
      </c>
      <c r="J28" s="41">
        <f>I28/I3</f>
        <v>1.1001300390117035</v>
      </c>
      <c r="K28" s="52">
        <v>1811</v>
      </c>
      <c r="L28" s="61">
        <f>K28/K3</f>
        <v>1.100243013365735</v>
      </c>
      <c r="M28" s="52">
        <f>(4998254+4976663+5160184)/C28</f>
        <v>144143.81904761904</v>
      </c>
      <c r="N28" s="31">
        <f t="shared" si="0"/>
        <v>1.7596540242152821</v>
      </c>
      <c r="O28" s="101">
        <f>M28/M7</f>
        <v>1.0677836684018711</v>
      </c>
      <c r="P28" s="102">
        <f t="shared" si="7"/>
        <v>-2.9293802284992232</v>
      </c>
      <c r="Q28" s="96" t="s">
        <v>3585</v>
      </c>
    </row>
    <row r="29" spans="1:17" ht="26.25" customHeight="1" x14ac:dyDescent="0.2">
      <c r="A29" s="180" t="s">
        <v>3605</v>
      </c>
      <c r="B29" s="181"/>
      <c r="C29" s="181"/>
      <c r="D29" s="181"/>
      <c r="E29" s="181"/>
      <c r="F29" s="181"/>
      <c r="G29" s="181"/>
      <c r="H29" s="181"/>
      <c r="I29" s="181"/>
      <c r="J29" s="181"/>
      <c r="K29" s="181"/>
      <c r="L29" s="181"/>
      <c r="M29" s="181"/>
      <c r="N29" s="181"/>
      <c r="O29" s="181"/>
      <c r="P29" s="181"/>
      <c r="Q29" s="181"/>
    </row>
  </sheetData>
  <mergeCells count="9">
    <mergeCell ref="K2:L2"/>
    <mergeCell ref="A29:Q29"/>
    <mergeCell ref="A1:C1"/>
    <mergeCell ref="D1:L1"/>
    <mergeCell ref="M1:P1"/>
    <mergeCell ref="Q1:Q2"/>
    <mergeCell ref="E2:F2"/>
    <mergeCell ref="G2:H2"/>
    <mergeCell ref="I2:J2"/>
  </mergeCells>
  <conditionalFormatting sqref="A1:Q29">
    <cfRule type="containsText" dxfId="7" priority="1" operator="containsText" text="!">
      <formula>NOT(ISERROR(SEARCH(("!"),(A1))))</formula>
    </cfRule>
  </conditionalFormatting>
  <conditionalFormatting sqref="N3:N28">
    <cfRule type="colorScale" priority="2">
      <colorScale>
        <cfvo type="min"/>
        <cfvo type="percentile" val="50"/>
        <cfvo type="max"/>
        <color rgb="FFE67C73"/>
        <color rgb="FFFFD666"/>
        <color rgb="FF57BB8A"/>
      </colorScale>
    </cfRule>
  </conditionalFormatting>
  <conditionalFormatting sqref="O3:O28">
    <cfRule type="colorScale" priority="3">
      <colorScale>
        <cfvo type="min"/>
        <cfvo type="percentile" val="50"/>
        <cfvo type="max"/>
        <color rgb="FFE67C73"/>
        <color rgb="FFFFD666"/>
        <color rgb="FF57BB8A"/>
      </colorScale>
    </cfRule>
  </conditionalFormatting>
  <conditionalFormatting sqref="P3:P28">
    <cfRule type="cellIs" dxfId="6" priority="4" operator="greaterThanOrEqual">
      <formula>0</formula>
    </cfRule>
    <cfRule type="cellIs" dxfId="5" priority="5" operator="lessThan">
      <formula>0</formula>
    </cfRule>
  </conditionalFormatting>
  <pageMargins left="0.7" right="0.7" top="0.75" bottom="0.75" header="0.3" footer="0.3"/>
  <drawing r:id="rId1"/>
  <legacyDrawing r:id="rId2"/>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0000FF"/>
    <outlinePr summaryBelow="0" summaryRight="0"/>
  </sheetPr>
  <dimension ref="A1:H16"/>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27" customWidth="1"/>
    <col min="2" max="2" width="42.28515625" customWidth="1"/>
    <col min="3" max="3" width="12.42578125" customWidth="1"/>
    <col min="4" max="5" width="7.5703125" customWidth="1"/>
    <col min="6" max="6" width="9.85546875" customWidth="1"/>
    <col min="7" max="7" width="9" customWidth="1"/>
    <col min="8" max="8" width="9.85546875" customWidth="1"/>
  </cols>
  <sheetData>
    <row r="1" spans="1:8" ht="30" customHeight="1" x14ac:dyDescent="0.2">
      <c r="A1" s="28" t="s">
        <v>192</v>
      </c>
      <c r="B1" s="28" t="s">
        <v>359</v>
      </c>
      <c r="C1" s="28" t="s">
        <v>3606</v>
      </c>
      <c r="D1" s="28" t="s">
        <v>356</v>
      </c>
      <c r="E1" s="28" t="s">
        <v>933</v>
      </c>
      <c r="F1" s="28" t="s">
        <v>17</v>
      </c>
      <c r="G1" s="28" t="s">
        <v>588</v>
      </c>
      <c r="H1" s="28" t="s">
        <v>590</v>
      </c>
    </row>
    <row r="2" spans="1:8" ht="45" customHeight="1" x14ac:dyDescent="0.2">
      <c r="A2" s="24" t="s">
        <v>3607</v>
      </c>
      <c r="B2" s="136" t="s">
        <v>3608</v>
      </c>
      <c r="C2" s="24" t="s">
        <v>3609</v>
      </c>
      <c r="D2" s="27"/>
      <c r="E2" s="31">
        <v>2.1829999999999998</v>
      </c>
      <c r="F2" s="52">
        <f>2*19405*22*1.3*2.2*3*7.5*2.3*1.25*1.4*1.5*1.6</f>
        <v>530752442.22000003</v>
      </c>
      <c r="G2" s="52" t="s">
        <v>647</v>
      </c>
      <c r="H2" s="52">
        <f t="shared" ref="H2:H3" si="0">F2/E2</f>
        <v>243129840.68712783</v>
      </c>
    </row>
    <row r="3" spans="1:8" ht="45" customHeight="1" x14ac:dyDescent="0.2">
      <c r="A3" s="24" t="s">
        <v>3610</v>
      </c>
      <c r="B3" s="136" t="s">
        <v>3611</v>
      </c>
      <c r="C3" s="24" t="s">
        <v>3612</v>
      </c>
      <c r="D3" s="27"/>
      <c r="E3" s="31">
        <v>1.7669999999999999</v>
      </c>
      <c r="F3" s="52">
        <f>32963*1.3*2*7.5*3*2.3*1.4</f>
        <v>6209240.3099999987</v>
      </c>
      <c r="G3" s="52" t="s">
        <v>647</v>
      </c>
      <c r="H3" s="52">
        <f t="shared" si="0"/>
        <v>3514001.307300509</v>
      </c>
    </row>
    <row r="4" spans="1:8" ht="45" customHeight="1" x14ac:dyDescent="0.2">
      <c r="A4" s="24" t="s">
        <v>3613</v>
      </c>
      <c r="B4" s="136" t="s">
        <v>3614</v>
      </c>
      <c r="C4" s="24" t="s">
        <v>3615</v>
      </c>
      <c r="D4" s="27"/>
      <c r="E4" s="31">
        <f>5.667*2</f>
        <v>11.334</v>
      </c>
      <c r="F4" s="52">
        <f>1629896*1.35*1.3*1.25</f>
        <v>3575584.3500000006</v>
      </c>
      <c r="G4" s="52">
        <f>F4*3</f>
        <v>10726753.050000001</v>
      </c>
      <c r="H4" s="52">
        <f t="shared" ref="H4:H5" si="1">G4/E4</f>
        <v>946422.53838009539</v>
      </c>
    </row>
    <row r="5" spans="1:8" ht="45" customHeight="1" x14ac:dyDescent="0.2">
      <c r="A5" s="24" t="s">
        <v>3616</v>
      </c>
      <c r="B5" s="136" t="s">
        <v>3617</v>
      </c>
      <c r="C5" s="24" t="s">
        <v>3618</v>
      </c>
      <c r="D5" s="27"/>
      <c r="E5" s="31">
        <v>11.847</v>
      </c>
      <c r="F5" s="52">
        <f>134993*1.289*1.15*1.35*1.3*1.0777*1.22</f>
        <v>461739.30081253417</v>
      </c>
      <c r="G5" s="52">
        <f>10*F5</f>
        <v>4617393.0081253415</v>
      </c>
      <c r="H5" s="52">
        <f t="shared" si="1"/>
        <v>389752.08982234675</v>
      </c>
    </row>
    <row r="6" spans="1:8" ht="45" customHeight="1" x14ac:dyDescent="0.2">
      <c r="A6" s="24" t="s">
        <v>3619</v>
      </c>
      <c r="B6" s="136" t="s">
        <v>3620</v>
      </c>
      <c r="C6" s="24" t="s">
        <v>3621</v>
      </c>
      <c r="D6" s="76"/>
      <c r="E6" s="31">
        <v>15.3</v>
      </c>
      <c r="F6" s="52">
        <v>4076463</v>
      </c>
      <c r="G6" s="52" t="s">
        <v>647</v>
      </c>
      <c r="H6" s="52">
        <f>F6/E6</f>
        <v>266435.49019607843</v>
      </c>
    </row>
    <row r="7" spans="1:8" ht="45" customHeight="1" x14ac:dyDescent="0.2">
      <c r="A7" s="24" t="s">
        <v>3622</v>
      </c>
      <c r="B7" s="136" t="s">
        <v>3623</v>
      </c>
      <c r="C7" s="24" t="s">
        <v>3624</v>
      </c>
      <c r="D7" s="27"/>
      <c r="E7" s="31">
        <f>1*37*0.366</f>
        <v>13.542</v>
      </c>
      <c r="F7" s="52">
        <f>(175002*1.333*1.3*1.35*1.3*1.1)+19*(34506*1.35*1.3*1.0777*1.22)+19*(28588*1.35*1.3*1.0777*1.25*1.15)</f>
        <v>3575045.7114916053</v>
      </c>
      <c r="G7" s="52">
        <f>F7</f>
        <v>3575045.7114916053</v>
      </c>
      <c r="H7" s="52">
        <f t="shared" ref="H7:H16" si="2">G7/E7</f>
        <v>263996.87723317125</v>
      </c>
    </row>
    <row r="8" spans="1:8" ht="45" customHeight="1" x14ac:dyDescent="0.2">
      <c r="A8" s="24" t="s">
        <v>3625</v>
      </c>
      <c r="B8" s="136" t="s">
        <v>3626</v>
      </c>
      <c r="C8" s="24" t="s">
        <v>3627</v>
      </c>
      <c r="D8" s="27"/>
      <c r="E8" s="31">
        <f>3.333*6</f>
        <v>19.998000000000001</v>
      </c>
      <c r="F8" s="52">
        <f>115423*1.1016*1.25*1.35*1.3*1.22*1.1+28588*1.35*1.3*1.15*1.0777*1.1+3*51381*1.35*1.3*1.25*1.0777*1.1</f>
        <v>843598.16071566765</v>
      </c>
      <c r="G8" s="52">
        <f>F8*6</f>
        <v>5061588.9642940061</v>
      </c>
      <c r="H8" s="52">
        <f t="shared" si="2"/>
        <v>253104.75869056935</v>
      </c>
    </row>
    <row r="9" spans="1:8" ht="45" customHeight="1" x14ac:dyDescent="0.2">
      <c r="A9" s="24" t="s">
        <v>3628</v>
      </c>
      <c r="B9" s="136" t="s">
        <v>3629</v>
      </c>
      <c r="C9" s="24" t="s">
        <v>3630</v>
      </c>
      <c r="D9" s="27"/>
      <c r="E9" s="31">
        <f>2+0.433*42+0.783*3</f>
        <v>22.535</v>
      </c>
      <c r="F9" s="52">
        <f>(6*25917*1.15*1.0833*1.35*1.3*1.25*1.0777*1.1*1.1)+(6*25917*1.0833*1.35*1.3*1.25*1.0777*1.17*1.1)+(175002*1.333*1.3*1.35*1.3*1.17*1.1)</f>
        <v>1751717.8949571436</v>
      </c>
      <c r="G9" s="52">
        <f>3.5*(6*25917*1.15*1.0833*1.35*1.3*1.25*1.0777*1.1*1.1)+3.5*(6*25917*1.0833*1.35*1.3*1.25*1.0777*1.17*1.1)+2*(175002*1.333*1.25*1.35*1.3*1.17*1.1)</f>
        <v>5050866.0640401226</v>
      </c>
      <c r="H9" s="52">
        <f t="shared" si="2"/>
        <v>224134.28285068215</v>
      </c>
    </row>
    <row r="10" spans="1:8" ht="45" customHeight="1" x14ac:dyDescent="0.2">
      <c r="A10" s="24" t="s">
        <v>3631</v>
      </c>
      <c r="B10" s="136" t="s">
        <v>3632</v>
      </c>
      <c r="C10" s="24" t="s">
        <v>3609</v>
      </c>
      <c r="D10" s="27"/>
      <c r="E10" s="31">
        <v>21.951000000000001</v>
      </c>
      <c r="F10" s="52">
        <f>69648*1.25*1.35*1.4*1.3*1.1*1.25</f>
        <v>294121.32750000007</v>
      </c>
      <c r="G10" s="52">
        <f>F10*16</f>
        <v>4705941.2400000012</v>
      </c>
      <c r="H10" s="52">
        <f t="shared" si="2"/>
        <v>214383.91143911442</v>
      </c>
    </row>
    <row r="11" spans="1:8" ht="45" customHeight="1" x14ac:dyDescent="0.2">
      <c r="A11" s="24" t="s">
        <v>3633</v>
      </c>
      <c r="B11" s="136" t="s">
        <v>3634</v>
      </c>
      <c r="C11" s="24" t="s">
        <v>3635</v>
      </c>
      <c r="D11" s="39"/>
      <c r="E11" s="31">
        <f>2.1*5</f>
        <v>10.5</v>
      </c>
      <c r="F11" s="52">
        <f>115423*1.1016*1.25*1.35*1.3*1.22*1.1</f>
        <v>374331.12107391004</v>
      </c>
      <c r="G11" s="52">
        <f>F11*6</f>
        <v>2245986.7264434602</v>
      </c>
      <c r="H11" s="52">
        <f t="shared" si="2"/>
        <v>213903.49775652002</v>
      </c>
    </row>
    <row r="12" spans="1:8" ht="45" customHeight="1" x14ac:dyDescent="0.2">
      <c r="A12" s="24" t="s">
        <v>3636</v>
      </c>
      <c r="B12" s="136" t="s">
        <v>3637</v>
      </c>
      <c r="C12" s="24" t="s">
        <v>3627</v>
      </c>
      <c r="D12" s="27"/>
      <c r="E12" s="31">
        <f>2.616*22.5</f>
        <v>58.86</v>
      </c>
      <c r="F12" s="52">
        <f>(54990*1.316*1.176*1.35*1.3*1.0777*1.25*1.1*1.418*1.1)+2*(14664*1.176*1.35*1.3*1.0777*1.25*1.1*1.418*1.1)</f>
        <v>485124.1076923795</v>
      </c>
      <c r="G12" s="52">
        <f>F12*23+(54990*1.316*1.176*1.35*1.3*1.0777*1.25*1.1*1.47*1.1)</f>
        <v>11515732.189174075</v>
      </c>
      <c r="H12" s="52">
        <f t="shared" si="2"/>
        <v>195646.14660506413</v>
      </c>
    </row>
    <row r="13" spans="1:8" ht="45" customHeight="1" x14ac:dyDescent="0.2">
      <c r="A13" s="24" t="s">
        <v>3638</v>
      </c>
      <c r="B13" s="136" t="s">
        <v>3639</v>
      </c>
      <c r="C13" s="24" t="s">
        <v>3640</v>
      </c>
      <c r="D13" s="27"/>
      <c r="E13" s="31">
        <f>0.5+1.416/1.4*12+1.766+1.416/1.4*9</f>
        <v>23.505999999999997</v>
      </c>
      <c r="F13" s="52">
        <f>48027*1.47*1.15*1.3*1.35*1.25*1.0777</f>
        <v>191948.91036739029</v>
      </c>
      <c r="G13" s="52">
        <f>F13*23</f>
        <v>4414824.938449977</v>
      </c>
      <c r="H13" s="52">
        <f t="shared" si="2"/>
        <v>187816.93773717253</v>
      </c>
    </row>
    <row r="14" spans="1:8" ht="45" customHeight="1" x14ac:dyDescent="0.2">
      <c r="A14" s="24" t="s">
        <v>3641</v>
      </c>
      <c r="B14" s="136" t="s">
        <v>3642</v>
      </c>
      <c r="C14" s="24" t="s">
        <v>3624</v>
      </c>
      <c r="D14" s="27"/>
      <c r="E14" s="31">
        <f>0.4*22</f>
        <v>8.8000000000000007</v>
      </c>
      <c r="F14" s="52">
        <f>23*(25366*1.35*1.5*1.0777*1.25)</f>
        <v>1591522.3708312504</v>
      </c>
      <c r="G14" s="52">
        <f>F14</f>
        <v>1591522.3708312504</v>
      </c>
      <c r="H14" s="52">
        <f t="shared" si="2"/>
        <v>180854.81486718752</v>
      </c>
    </row>
    <row r="15" spans="1:8" ht="45" customHeight="1" x14ac:dyDescent="0.2">
      <c r="A15" s="24" t="s">
        <v>3643</v>
      </c>
      <c r="B15" s="136" t="s">
        <v>3644</v>
      </c>
      <c r="C15" s="24" t="s">
        <v>3645</v>
      </c>
      <c r="D15" s="27"/>
      <c r="E15" s="31">
        <v>80.849999999999994</v>
      </c>
      <c r="F15" s="52">
        <f>2899*1.5555*1.35*1.3*1.22*1.0777</f>
        <v>10405.263080568919</v>
      </c>
      <c r="G15" s="52">
        <f>F15*1234</f>
        <v>12840094.641422046</v>
      </c>
      <c r="H15" s="52">
        <f t="shared" si="2"/>
        <v>158813.78653583236</v>
      </c>
    </row>
    <row r="16" spans="1:8" ht="45" customHeight="1" x14ac:dyDescent="0.2">
      <c r="A16" s="24" t="s">
        <v>3646</v>
      </c>
      <c r="B16" s="136" t="s">
        <v>3647</v>
      </c>
      <c r="C16" s="24" t="s">
        <v>3615</v>
      </c>
      <c r="D16" s="27"/>
      <c r="E16" s="31">
        <v>35.25</v>
      </c>
      <c r="F16" s="52">
        <f>1687399*1.1254*1.35*1.3*1.22</f>
        <v>4065946.4047620604</v>
      </c>
      <c r="G16" s="52">
        <f>F16</f>
        <v>4065946.4047620604</v>
      </c>
      <c r="H16" s="52">
        <f t="shared" si="2"/>
        <v>115345.99729821448</v>
      </c>
    </row>
  </sheetData>
  <autoFilter ref="A1:H16" xr:uid="{00000000-0009-0000-0000-000011000000}"/>
  <conditionalFormatting sqref="C2:D16">
    <cfRule type="containsText" dxfId="4" priority="1" operator="containsText" text="!">
      <formula>NOT(ISERROR(SEARCH(("!"),(C2))))</formula>
    </cfRule>
  </conditionalFormatting>
  <conditionalFormatting sqref="H2:H16">
    <cfRule type="colorScale" priority="2">
      <colorScale>
        <cfvo type="min"/>
        <cfvo type="percentile" val="75"/>
        <cfvo type="max"/>
        <color rgb="FFE67C73"/>
        <color rgb="FFFFD666"/>
        <color rgb="FF57BB8A"/>
      </colorScale>
    </cfRule>
  </conditionalFormatting>
  <pageMargins left="0.7" right="0.7" top="0.75" bottom="0.75" header="0.3" footer="0.3"/>
  <drawing r:id="rId1"/>
  <legacy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outlinePr summaryBelow="0" summaryRight="0"/>
  </sheetPr>
  <dimension ref="A1:W1005"/>
  <sheetViews>
    <sheetView workbookViewId="0"/>
  </sheetViews>
  <sheetFormatPr defaultColWidth="12.5703125" defaultRowHeight="15.75" customHeight="1" x14ac:dyDescent="0.2"/>
  <cols>
    <col min="1" max="1" width="8.42578125" customWidth="1"/>
  </cols>
  <sheetData>
    <row r="1" spans="1:23" x14ac:dyDescent="0.2">
      <c r="A1" s="193" t="s">
        <v>3648</v>
      </c>
      <c r="B1" s="158"/>
      <c r="C1" s="158"/>
      <c r="D1" s="158"/>
      <c r="E1" s="158"/>
      <c r="F1" s="158"/>
      <c r="G1" s="137"/>
      <c r="H1" s="137"/>
      <c r="I1" s="137"/>
      <c r="J1" s="194" t="s">
        <v>3649</v>
      </c>
      <c r="K1" s="158"/>
      <c r="L1" s="158"/>
      <c r="M1" s="137"/>
      <c r="N1" s="137"/>
      <c r="O1" s="137"/>
      <c r="P1" s="137"/>
      <c r="Q1" s="137"/>
      <c r="R1" s="137"/>
      <c r="S1" s="137"/>
      <c r="T1" s="137"/>
      <c r="U1" s="137"/>
      <c r="V1" s="137"/>
      <c r="W1" s="137"/>
    </row>
    <row r="2" spans="1:23" x14ac:dyDescent="0.2">
      <c r="A2" s="138" t="s">
        <v>3650</v>
      </c>
      <c r="B2" s="139" t="s">
        <v>3651</v>
      </c>
      <c r="C2" s="139" t="s">
        <v>3652</v>
      </c>
      <c r="D2" s="138" t="s">
        <v>3653</v>
      </c>
      <c r="E2" s="138" t="s">
        <v>3654</v>
      </c>
      <c r="F2" s="138" t="s">
        <v>3655</v>
      </c>
      <c r="G2" s="137"/>
      <c r="H2" s="137"/>
      <c r="I2" s="137"/>
      <c r="J2" s="137">
        <f>4.833</f>
        <v>4.8330000000000002</v>
      </c>
      <c r="K2" s="140">
        <f>1.5</f>
        <v>1.5</v>
      </c>
      <c r="L2" s="137">
        <v>3</v>
      </c>
      <c r="M2" s="137"/>
      <c r="N2" s="137"/>
      <c r="O2" s="137"/>
      <c r="P2" s="137"/>
      <c r="Q2" s="137"/>
      <c r="R2" s="137"/>
      <c r="S2" s="137"/>
      <c r="T2" s="137"/>
      <c r="U2" s="137"/>
      <c r="V2" s="137"/>
      <c r="W2" s="137"/>
    </row>
    <row r="3" spans="1:23" x14ac:dyDescent="0.2">
      <c r="A3" s="137">
        <v>1</v>
      </c>
      <c r="B3" s="30">
        <v>170192</v>
      </c>
      <c r="C3" s="30">
        <v>179880</v>
      </c>
      <c r="D3" s="141">
        <f>C3/C3</f>
        <v>1</v>
      </c>
      <c r="E3" s="141">
        <f>D3-1</f>
        <v>0</v>
      </c>
      <c r="F3" s="137" t="s">
        <v>593</v>
      </c>
      <c r="G3" s="137"/>
      <c r="H3" s="137"/>
      <c r="I3" s="137"/>
      <c r="J3" s="137">
        <f>J2+3.783</f>
        <v>8.6159999999999997</v>
      </c>
      <c r="K3" s="140">
        <f t="shared" ref="K3:K22" si="0">K2+1.5</f>
        <v>3</v>
      </c>
      <c r="L3" s="137">
        <v>2</v>
      </c>
      <c r="M3" s="137"/>
      <c r="N3" s="137"/>
      <c r="O3" s="137"/>
      <c r="P3" s="137"/>
      <c r="Q3" s="137"/>
      <c r="R3" s="137"/>
      <c r="S3" s="137"/>
      <c r="T3" s="137"/>
      <c r="U3" s="137"/>
      <c r="V3" s="137"/>
      <c r="W3" s="137"/>
    </row>
    <row r="4" spans="1:23" x14ac:dyDescent="0.2">
      <c r="A4" s="137">
        <v>2</v>
      </c>
      <c r="B4" s="137">
        <v>254656</v>
      </c>
      <c r="C4" s="137">
        <f>299801-30355</f>
        <v>269446</v>
      </c>
      <c r="D4" s="141">
        <f>C4/C3</f>
        <v>1.4979208361129641</v>
      </c>
      <c r="E4" s="141">
        <f>D4-2</f>
        <v>-0.50207916388703588</v>
      </c>
      <c r="F4" s="141">
        <f t="shared" ref="F4:F8" si="1">D4-D3</f>
        <v>0.49792083611296412</v>
      </c>
      <c r="G4" s="137"/>
      <c r="H4" s="137"/>
      <c r="I4" s="137"/>
      <c r="J4" s="137">
        <f>J3+5.833</f>
        <v>14.449</v>
      </c>
      <c r="K4" s="140">
        <f t="shared" si="0"/>
        <v>4.5</v>
      </c>
      <c r="L4" s="137">
        <v>4</v>
      </c>
      <c r="M4" s="137"/>
      <c r="N4" s="137"/>
      <c r="O4" s="137"/>
      <c r="P4" s="137"/>
      <c r="Q4" s="137"/>
      <c r="R4" s="137"/>
      <c r="S4" s="137"/>
      <c r="T4" s="137"/>
      <c r="U4" s="137"/>
      <c r="V4" s="137"/>
      <c r="W4" s="137"/>
    </row>
    <row r="5" spans="1:23" x14ac:dyDescent="0.2">
      <c r="A5" s="137">
        <v>3</v>
      </c>
      <c r="B5" s="137">
        <v>349261</v>
      </c>
      <c r="C5" s="137">
        <v>359836</v>
      </c>
      <c r="D5" s="141">
        <f>C5/C3</f>
        <v>2.0004225038914831</v>
      </c>
      <c r="E5" s="141">
        <f>D5-3</f>
        <v>-0.99957749610851687</v>
      </c>
      <c r="F5" s="141">
        <f t="shared" si="1"/>
        <v>0.50250166777851901</v>
      </c>
      <c r="G5" s="137"/>
      <c r="H5" s="137"/>
      <c r="I5" s="137"/>
      <c r="J5" s="137">
        <f>J4+7.783</f>
        <v>22.231999999999999</v>
      </c>
      <c r="K5" s="137">
        <f t="shared" si="0"/>
        <v>6</v>
      </c>
      <c r="L5" s="137">
        <v>5</v>
      </c>
      <c r="M5" s="137"/>
      <c r="N5" s="137"/>
      <c r="O5" s="137"/>
      <c r="P5" s="137"/>
      <c r="Q5" s="137"/>
      <c r="R5" s="137"/>
      <c r="S5" s="137"/>
      <c r="T5" s="137"/>
      <c r="U5" s="137"/>
      <c r="V5" s="137"/>
      <c r="W5" s="137"/>
    </row>
    <row r="6" spans="1:23" x14ac:dyDescent="0.2">
      <c r="A6" s="137">
        <v>4</v>
      </c>
      <c r="B6" s="137">
        <v>418318</v>
      </c>
      <c r="C6" s="137">
        <v>471811</v>
      </c>
      <c r="D6" s="141">
        <f>C6/C3</f>
        <v>2.6229208361129643</v>
      </c>
      <c r="E6" s="141">
        <f>D6-4</f>
        <v>-1.3770791638870357</v>
      </c>
      <c r="F6" s="141">
        <f t="shared" si="1"/>
        <v>0.62249833222148121</v>
      </c>
      <c r="G6" s="137"/>
      <c r="H6" s="137"/>
      <c r="I6" s="137"/>
      <c r="J6" s="137">
        <f>J5+10.283</f>
        <v>32.515000000000001</v>
      </c>
      <c r="K6" s="137">
        <f t="shared" si="0"/>
        <v>7.5</v>
      </c>
      <c r="L6" s="137">
        <v>7</v>
      </c>
      <c r="M6" s="137"/>
      <c r="N6" s="137"/>
      <c r="O6" s="137"/>
      <c r="P6" s="137"/>
      <c r="Q6" s="137"/>
      <c r="R6" s="137"/>
      <c r="S6" s="137"/>
      <c r="T6" s="137"/>
      <c r="U6" s="137"/>
      <c r="V6" s="137"/>
      <c r="W6" s="137"/>
    </row>
    <row r="7" spans="1:23" x14ac:dyDescent="0.2">
      <c r="A7" s="137">
        <v>5</v>
      </c>
      <c r="B7" s="137">
        <v>490380</v>
      </c>
      <c r="C7" s="137">
        <f>577166-30355</f>
        <v>546811</v>
      </c>
      <c r="D7" s="141">
        <f>C7/C3</f>
        <v>3.039865465866133</v>
      </c>
      <c r="E7" s="141">
        <f>D7-5</f>
        <v>-1.960134534133867</v>
      </c>
      <c r="F7" s="141">
        <f t="shared" si="1"/>
        <v>0.41694462975316871</v>
      </c>
      <c r="G7" s="137"/>
      <c r="H7" s="137"/>
      <c r="I7" s="137"/>
      <c r="J7" s="137"/>
      <c r="K7" s="140">
        <f t="shared" si="0"/>
        <v>9</v>
      </c>
      <c r="L7" s="137"/>
      <c r="M7" s="137"/>
      <c r="N7" s="137"/>
      <c r="O7" s="137"/>
      <c r="P7" s="137"/>
      <c r="Q7" s="137"/>
      <c r="R7" s="137"/>
      <c r="S7" s="137"/>
      <c r="T7" s="137"/>
      <c r="U7" s="137"/>
      <c r="V7" s="137"/>
      <c r="W7" s="137"/>
    </row>
    <row r="8" spans="1:23" x14ac:dyDescent="0.2">
      <c r="A8" s="137">
        <v>6</v>
      </c>
      <c r="B8" s="30">
        <v>570756</v>
      </c>
      <c r="C8" s="30">
        <v>599226</v>
      </c>
      <c r="D8" s="141">
        <f>C8/C3</f>
        <v>3.3312541694462974</v>
      </c>
      <c r="E8" s="141">
        <f>D8-6</f>
        <v>-2.6687458305537026</v>
      </c>
      <c r="F8" s="141">
        <f t="shared" si="1"/>
        <v>0.29138870358016433</v>
      </c>
      <c r="G8" s="137"/>
      <c r="H8" s="137"/>
      <c r="I8" s="137"/>
      <c r="J8" s="137"/>
      <c r="K8" s="140">
        <f t="shared" si="0"/>
        <v>10.5</v>
      </c>
      <c r="L8" s="137"/>
      <c r="M8" s="137"/>
      <c r="N8" s="137"/>
      <c r="O8" s="137"/>
      <c r="P8" s="137"/>
      <c r="Q8" s="137"/>
      <c r="R8" s="137"/>
      <c r="S8" s="137"/>
      <c r="T8" s="137"/>
      <c r="U8" s="137"/>
      <c r="V8" s="137"/>
      <c r="W8" s="137"/>
    </row>
    <row r="9" spans="1:23" x14ac:dyDescent="0.2">
      <c r="A9" s="137" t="s">
        <v>3656</v>
      </c>
      <c r="B9" s="137">
        <v>245292</v>
      </c>
      <c r="C9" s="137">
        <f>284811-30355</f>
        <v>254456</v>
      </c>
      <c r="D9" s="137">
        <f>C9/C3</f>
        <v>1.4145875027796309</v>
      </c>
      <c r="E9" s="137">
        <f>D9-2</f>
        <v>-0.58541249722036914</v>
      </c>
      <c r="F9" s="137" t="s">
        <v>593</v>
      </c>
      <c r="G9" s="142">
        <f>C9-C3</f>
        <v>74576</v>
      </c>
      <c r="H9" s="137"/>
      <c r="I9" s="137"/>
      <c r="J9" s="137"/>
      <c r="K9" s="140">
        <f t="shared" si="0"/>
        <v>12</v>
      </c>
      <c r="L9" s="137"/>
      <c r="M9" s="137"/>
      <c r="N9" s="137"/>
      <c r="O9" s="137"/>
      <c r="P9" s="137"/>
      <c r="Q9" s="137"/>
      <c r="R9" s="137"/>
      <c r="S9" s="137"/>
      <c r="T9" s="137"/>
      <c r="U9" s="137"/>
      <c r="V9" s="137"/>
      <c r="W9" s="137"/>
    </row>
    <row r="10" spans="1:23" x14ac:dyDescent="0.2">
      <c r="A10" s="137" t="s">
        <v>3657</v>
      </c>
      <c r="B10" s="137">
        <v>335277</v>
      </c>
      <c r="C10" s="137">
        <f>397236-30355</f>
        <v>366881</v>
      </c>
      <c r="D10" s="137">
        <f>C10/C3</f>
        <v>2.0395875027796309</v>
      </c>
      <c r="E10" s="137">
        <f>D10-3</f>
        <v>-0.96041249722036914</v>
      </c>
      <c r="F10" s="137" t="s">
        <v>593</v>
      </c>
      <c r="G10" s="137">
        <f t="shared" ref="G10:G11" si="2">C10-C9</f>
        <v>112425</v>
      </c>
      <c r="H10" s="137"/>
      <c r="I10" s="137"/>
      <c r="J10" s="137"/>
      <c r="K10" s="140">
        <f t="shared" si="0"/>
        <v>13.5</v>
      </c>
      <c r="L10" s="137"/>
      <c r="M10" s="137"/>
      <c r="N10" s="137"/>
      <c r="O10" s="137"/>
      <c r="P10" s="137"/>
      <c r="Q10" s="137"/>
      <c r="R10" s="137"/>
      <c r="S10" s="137"/>
      <c r="T10" s="137"/>
      <c r="U10" s="137"/>
      <c r="V10" s="137"/>
      <c r="W10" s="137"/>
    </row>
    <row r="11" spans="1:23" x14ac:dyDescent="0.2">
      <c r="A11" s="137" t="s">
        <v>3658</v>
      </c>
      <c r="B11" s="137">
        <v>394615</v>
      </c>
      <c r="C11" s="137">
        <f>464691-30355</f>
        <v>434336</v>
      </c>
      <c r="D11" s="137">
        <f>C11/C3</f>
        <v>2.4145875027796309</v>
      </c>
      <c r="E11" s="137">
        <f>D11-4</f>
        <v>-1.5854124972203691</v>
      </c>
      <c r="F11" s="137" t="s">
        <v>593</v>
      </c>
      <c r="G11" s="137">
        <f t="shared" si="2"/>
        <v>67455</v>
      </c>
      <c r="H11" s="137"/>
      <c r="I11" s="137"/>
      <c r="J11" s="137"/>
      <c r="K11" s="137">
        <f t="shared" si="0"/>
        <v>15</v>
      </c>
      <c r="L11" s="137"/>
      <c r="M11" s="137"/>
      <c r="N11" s="137"/>
      <c r="O11" s="137"/>
      <c r="P11" s="137"/>
      <c r="Q11" s="137"/>
      <c r="R11" s="137"/>
      <c r="S11" s="137"/>
      <c r="T11" s="137"/>
      <c r="U11" s="137"/>
      <c r="V11" s="137"/>
      <c r="W11" s="137"/>
    </row>
    <row r="12" spans="1:23" x14ac:dyDescent="0.2">
      <c r="A12" s="137" t="s">
        <v>3659</v>
      </c>
      <c r="B12" s="195" t="s">
        <v>3660</v>
      </c>
      <c r="C12" s="158"/>
      <c r="D12" s="158"/>
      <c r="E12" s="158"/>
      <c r="F12" s="158"/>
      <c r="G12" s="137"/>
      <c r="H12" s="137"/>
      <c r="I12" s="137"/>
      <c r="J12" s="137"/>
      <c r="K12" s="137">
        <f t="shared" si="0"/>
        <v>16.5</v>
      </c>
      <c r="L12" s="137"/>
      <c r="M12" s="137"/>
      <c r="N12" s="137"/>
      <c r="O12" s="137"/>
      <c r="P12" s="137"/>
      <c r="Q12" s="137"/>
      <c r="R12" s="137"/>
      <c r="S12" s="137"/>
      <c r="T12" s="137"/>
      <c r="U12" s="137"/>
      <c r="V12" s="137"/>
      <c r="W12" s="137"/>
    </row>
    <row r="13" spans="1:23" x14ac:dyDescent="0.2">
      <c r="A13" s="137"/>
      <c r="B13" s="137"/>
      <c r="C13" s="137"/>
      <c r="D13" s="137"/>
      <c r="E13" s="137"/>
      <c r="F13" s="137"/>
      <c r="G13" s="137"/>
      <c r="H13" s="137"/>
      <c r="I13" s="137"/>
      <c r="J13" s="137"/>
      <c r="K13" s="137">
        <f t="shared" si="0"/>
        <v>18</v>
      </c>
      <c r="L13" s="137"/>
      <c r="M13" s="137"/>
      <c r="N13" s="137"/>
      <c r="O13" s="137"/>
      <c r="P13" s="137"/>
      <c r="Q13" s="137"/>
      <c r="R13" s="137"/>
      <c r="S13" s="137"/>
      <c r="T13" s="137"/>
      <c r="U13" s="137"/>
      <c r="V13" s="137"/>
      <c r="W13" s="137"/>
    </row>
    <row r="14" spans="1:23" x14ac:dyDescent="0.2">
      <c r="A14" s="193" t="s">
        <v>3661</v>
      </c>
      <c r="B14" s="158"/>
      <c r="C14" s="158"/>
      <c r="D14" s="158"/>
      <c r="E14" s="158"/>
      <c r="F14" s="158"/>
      <c r="G14" s="137"/>
      <c r="H14" s="143" t="s">
        <v>3662</v>
      </c>
      <c r="I14" s="137">
        <f>AVERAGE(I16:I19)</f>
        <v>142984.42000000001</v>
      </c>
      <c r="J14" s="137"/>
      <c r="K14" s="137">
        <f t="shared" si="0"/>
        <v>19.5</v>
      </c>
      <c r="L14" s="137"/>
      <c r="M14" s="137"/>
      <c r="N14" s="137"/>
      <c r="O14" s="137"/>
      <c r="P14" s="137"/>
      <c r="Q14" s="137"/>
      <c r="R14" s="137"/>
      <c r="S14" s="137"/>
      <c r="T14" s="137"/>
      <c r="U14" s="137"/>
      <c r="V14" s="137"/>
      <c r="W14" s="137"/>
    </row>
    <row r="15" spans="1:23" x14ac:dyDescent="0.2">
      <c r="A15" s="138" t="s">
        <v>3663</v>
      </c>
      <c r="B15" s="138" t="s">
        <v>3664</v>
      </c>
      <c r="C15" s="138" t="s">
        <v>3665</v>
      </c>
      <c r="D15" s="138" t="s">
        <v>3651</v>
      </c>
      <c r="E15" s="138" t="s">
        <v>3666</v>
      </c>
      <c r="F15" s="138" t="s">
        <v>3667</v>
      </c>
      <c r="G15" s="138" t="s">
        <v>3668</v>
      </c>
      <c r="H15" s="138" t="s">
        <v>3669</v>
      </c>
      <c r="I15" s="138" t="s">
        <v>3670</v>
      </c>
      <c r="J15" s="137"/>
      <c r="K15" s="137">
        <f t="shared" si="0"/>
        <v>21</v>
      </c>
      <c r="L15" s="137"/>
      <c r="M15" s="137"/>
      <c r="N15" s="137"/>
      <c r="O15" s="137"/>
      <c r="P15" s="137"/>
      <c r="Q15" s="137"/>
      <c r="R15" s="137"/>
      <c r="S15" s="137"/>
      <c r="T15" s="137"/>
      <c r="U15" s="137"/>
      <c r="V15" s="137"/>
      <c r="W15" s="137"/>
    </row>
    <row r="16" spans="1:23" x14ac:dyDescent="0.2">
      <c r="A16" s="137">
        <v>1</v>
      </c>
      <c r="B16" s="137">
        <f>3*76784</f>
        <v>230352</v>
      </c>
      <c r="C16" s="137">
        <f t="shared" ref="C16:C17" si="3">4*44191</f>
        <v>176764</v>
      </c>
      <c r="D16" s="137">
        <v>1196695</v>
      </c>
      <c r="E16" s="137">
        <f t="shared" ref="E16:E19" si="4">(D16-C16-B16)/1.25</f>
        <v>631663.19999999995</v>
      </c>
      <c r="F16" s="137">
        <f t="shared" ref="F16:F18" si="5">E16/5</f>
        <v>126332.63999999998</v>
      </c>
      <c r="G16" s="137">
        <v>1251668</v>
      </c>
      <c r="H16" s="137">
        <f t="shared" ref="H16:H19" si="6">(G16-C16-B16)/1.25</f>
        <v>675641.6</v>
      </c>
      <c r="I16" s="137">
        <f t="shared" ref="I16:I18" si="7">H16/5</f>
        <v>135128.32000000001</v>
      </c>
      <c r="J16" s="137"/>
      <c r="K16" s="140">
        <f t="shared" si="0"/>
        <v>22.5</v>
      </c>
      <c r="L16" s="137"/>
      <c r="M16" s="137"/>
      <c r="N16" s="137"/>
      <c r="O16" s="137"/>
      <c r="P16" s="137"/>
      <c r="Q16" s="137"/>
      <c r="R16" s="137"/>
      <c r="S16" s="137"/>
      <c r="T16" s="137"/>
      <c r="U16" s="137"/>
      <c r="V16" s="137"/>
      <c r="W16" s="137"/>
    </row>
    <row r="17" spans="1:23" x14ac:dyDescent="0.2">
      <c r="A17" s="137">
        <v>2</v>
      </c>
      <c r="B17" s="137">
        <f>4*76784</f>
        <v>307136</v>
      </c>
      <c r="C17" s="137">
        <f t="shared" si="3"/>
        <v>176764</v>
      </c>
      <c r="D17" s="137">
        <v>1250392</v>
      </c>
      <c r="E17" s="137">
        <f t="shared" si="4"/>
        <v>613193.6</v>
      </c>
      <c r="F17" s="137">
        <f t="shared" si="5"/>
        <v>122638.72</v>
      </c>
      <c r="G17" s="137">
        <v>1371588</v>
      </c>
      <c r="H17" s="137">
        <f t="shared" si="6"/>
        <v>710150.4</v>
      </c>
      <c r="I17" s="137">
        <f t="shared" si="7"/>
        <v>142030.08000000002</v>
      </c>
      <c r="J17" s="137"/>
      <c r="K17" s="140">
        <f t="shared" si="0"/>
        <v>24</v>
      </c>
      <c r="L17" s="137"/>
      <c r="M17" s="137"/>
      <c r="N17" s="137"/>
      <c r="O17" s="137"/>
      <c r="P17" s="137"/>
      <c r="Q17" s="137"/>
      <c r="R17" s="137"/>
      <c r="S17" s="137"/>
      <c r="T17" s="137"/>
      <c r="U17" s="137"/>
      <c r="V17" s="137"/>
      <c r="W17" s="137"/>
    </row>
    <row r="18" spans="1:23" x14ac:dyDescent="0.2">
      <c r="A18" s="137">
        <v>3</v>
      </c>
      <c r="B18" s="137">
        <f t="shared" ref="B18:B19" si="8">3*76784</f>
        <v>230352</v>
      </c>
      <c r="C18" s="137">
        <f>3*44191</f>
        <v>132573</v>
      </c>
      <c r="D18" s="137">
        <v>1227501</v>
      </c>
      <c r="E18" s="137">
        <f t="shared" si="4"/>
        <v>691660.80000000005</v>
      </c>
      <c r="F18" s="137">
        <f t="shared" si="5"/>
        <v>138332.16</v>
      </c>
      <c r="G18" s="137">
        <v>1289143</v>
      </c>
      <c r="H18" s="137">
        <f t="shared" si="6"/>
        <v>740974.4</v>
      </c>
      <c r="I18" s="137">
        <f t="shared" si="7"/>
        <v>148194.88</v>
      </c>
      <c r="J18" s="137"/>
      <c r="K18" s="140">
        <f t="shared" si="0"/>
        <v>25.5</v>
      </c>
      <c r="L18" s="137"/>
      <c r="M18" s="137"/>
      <c r="N18" s="137"/>
      <c r="O18" s="137"/>
      <c r="P18" s="137"/>
      <c r="Q18" s="137"/>
      <c r="R18" s="137"/>
      <c r="S18" s="137"/>
      <c r="T18" s="137"/>
      <c r="U18" s="137"/>
      <c r="V18" s="137"/>
      <c r="W18" s="137"/>
    </row>
    <row r="19" spans="1:23" x14ac:dyDescent="0.2">
      <c r="A19" s="137">
        <v>4</v>
      </c>
      <c r="B19" s="137">
        <f t="shared" si="8"/>
        <v>230352</v>
      </c>
      <c r="C19" s="137">
        <f>4*44191</f>
        <v>176764</v>
      </c>
      <c r="D19" s="137">
        <v>1404946</v>
      </c>
      <c r="E19" s="137">
        <f t="shared" si="4"/>
        <v>798264</v>
      </c>
      <c r="F19" s="137">
        <f>E19/6</f>
        <v>133044</v>
      </c>
      <c r="G19" s="137">
        <v>1506499</v>
      </c>
      <c r="H19" s="137">
        <f t="shared" si="6"/>
        <v>879506.4</v>
      </c>
      <c r="I19" s="137">
        <f>H19/6</f>
        <v>146584.4</v>
      </c>
      <c r="J19" s="137"/>
      <c r="K19" s="140">
        <f t="shared" si="0"/>
        <v>27</v>
      </c>
      <c r="L19" s="137"/>
      <c r="M19" s="137"/>
      <c r="N19" s="137"/>
      <c r="O19" s="137"/>
      <c r="P19" s="137"/>
      <c r="Q19" s="137"/>
      <c r="R19" s="137"/>
      <c r="S19" s="137"/>
      <c r="T19" s="137"/>
      <c r="U19" s="137"/>
      <c r="V19" s="137"/>
      <c r="W19" s="137"/>
    </row>
    <row r="20" spans="1:23" x14ac:dyDescent="0.2">
      <c r="A20" s="137"/>
      <c r="B20" s="137"/>
      <c r="C20" s="137"/>
      <c r="D20" s="137"/>
      <c r="E20" s="137"/>
      <c r="F20" s="137"/>
      <c r="G20" s="137"/>
      <c r="H20" s="137"/>
      <c r="I20" s="137"/>
      <c r="J20" s="137"/>
      <c r="K20" s="140">
        <f t="shared" si="0"/>
        <v>28.5</v>
      </c>
      <c r="L20" s="137"/>
      <c r="M20" s="137"/>
      <c r="N20" s="137"/>
      <c r="O20" s="137"/>
      <c r="P20" s="137"/>
      <c r="Q20" s="137"/>
      <c r="R20" s="137"/>
      <c r="S20" s="137"/>
      <c r="T20" s="137"/>
      <c r="U20" s="137"/>
      <c r="V20" s="137"/>
      <c r="W20" s="137"/>
    </row>
    <row r="21" spans="1:23" x14ac:dyDescent="0.2">
      <c r="A21" s="137"/>
      <c r="B21" s="137"/>
      <c r="C21" s="137"/>
      <c r="D21" s="137"/>
      <c r="E21" s="137"/>
      <c r="F21" s="137"/>
      <c r="G21" s="137"/>
      <c r="H21" s="137"/>
      <c r="I21" s="137"/>
      <c r="J21" s="137"/>
      <c r="K21" s="140">
        <f t="shared" si="0"/>
        <v>30</v>
      </c>
      <c r="L21" s="137"/>
      <c r="M21" s="137"/>
      <c r="N21" s="137"/>
      <c r="O21" s="137"/>
      <c r="P21" s="137"/>
      <c r="Q21" s="137"/>
      <c r="R21" s="137"/>
      <c r="S21" s="137"/>
      <c r="T21" s="137"/>
      <c r="U21" s="137"/>
      <c r="V21" s="137"/>
      <c r="W21" s="137"/>
    </row>
    <row r="22" spans="1:23" x14ac:dyDescent="0.2">
      <c r="A22" s="137"/>
      <c r="B22" s="137"/>
      <c r="C22" s="137"/>
      <c r="D22" s="137"/>
      <c r="E22" s="137"/>
      <c r="F22" s="137"/>
      <c r="G22" s="137"/>
      <c r="H22" s="137"/>
      <c r="I22" s="137"/>
      <c r="J22" s="137"/>
      <c r="K22" s="140">
        <f t="shared" si="0"/>
        <v>31.5</v>
      </c>
      <c r="L22" s="137"/>
      <c r="M22" s="137"/>
      <c r="N22" s="137"/>
      <c r="O22" s="137"/>
      <c r="P22" s="137"/>
      <c r="Q22" s="137"/>
      <c r="R22" s="137"/>
      <c r="S22" s="137"/>
      <c r="T22" s="137"/>
      <c r="U22" s="137"/>
      <c r="V22" s="137"/>
      <c r="W22" s="137"/>
    </row>
    <row r="23" spans="1:23" x14ac:dyDescent="0.2">
      <c r="A23" s="137"/>
      <c r="B23" s="137"/>
      <c r="C23" s="137"/>
      <c r="D23" s="137"/>
      <c r="E23" s="137"/>
      <c r="F23" s="137"/>
      <c r="G23" s="137"/>
      <c r="H23" s="137"/>
      <c r="I23" s="137"/>
      <c r="M23" s="137"/>
      <c r="N23" s="137"/>
      <c r="O23" s="137"/>
      <c r="P23" s="137"/>
      <c r="Q23" s="137"/>
      <c r="R23" s="137"/>
      <c r="S23" s="137"/>
      <c r="T23" s="137"/>
      <c r="U23" s="137"/>
      <c r="V23" s="137"/>
      <c r="W23" s="137"/>
    </row>
    <row r="24" spans="1:23" x14ac:dyDescent="0.2">
      <c r="A24" s="137"/>
      <c r="B24" s="137"/>
      <c r="C24" s="137"/>
      <c r="D24" s="137"/>
      <c r="E24" s="137"/>
      <c r="F24" s="137"/>
      <c r="G24" s="137"/>
      <c r="H24" s="137"/>
      <c r="I24" s="137"/>
      <c r="J24" s="137"/>
      <c r="K24" s="137"/>
      <c r="L24" s="137"/>
      <c r="M24" s="137"/>
      <c r="N24" s="137"/>
      <c r="O24" s="137"/>
      <c r="P24" s="137"/>
      <c r="Q24" s="137"/>
      <c r="R24" s="137"/>
      <c r="S24" s="137"/>
      <c r="T24" s="137"/>
      <c r="U24" s="137"/>
      <c r="V24" s="137"/>
      <c r="W24" s="137"/>
    </row>
    <row r="25" spans="1:23" x14ac:dyDescent="0.2">
      <c r="A25" s="137"/>
      <c r="B25" s="137"/>
      <c r="C25" s="137"/>
      <c r="D25" s="137"/>
      <c r="E25" s="137"/>
      <c r="F25" s="137"/>
      <c r="G25" s="137"/>
      <c r="H25" s="137"/>
      <c r="I25" s="137"/>
      <c r="J25" s="137"/>
      <c r="K25" s="137"/>
      <c r="L25" s="137"/>
      <c r="M25" s="137"/>
      <c r="N25" s="137"/>
      <c r="O25" s="137"/>
      <c r="P25" s="137"/>
      <c r="Q25" s="137"/>
      <c r="R25" s="137"/>
      <c r="S25" s="137"/>
      <c r="T25" s="137"/>
      <c r="U25" s="137"/>
      <c r="V25" s="137"/>
      <c r="W25" s="137"/>
    </row>
    <row r="26" spans="1:23" x14ac:dyDescent="0.2">
      <c r="A26" s="137"/>
      <c r="B26" s="137"/>
      <c r="C26" s="137"/>
      <c r="D26" s="137"/>
      <c r="E26" s="137"/>
      <c r="F26" s="137"/>
      <c r="G26" s="137"/>
      <c r="H26" s="137"/>
      <c r="I26" s="137"/>
      <c r="J26" s="137"/>
      <c r="K26" s="137"/>
      <c r="L26" s="137"/>
      <c r="M26" s="137"/>
      <c r="N26" s="137"/>
      <c r="O26" s="137"/>
      <c r="P26" s="137"/>
      <c r="Q26" s="137"/>
      <c r="R26" s="137"/>
      <c r="S26" s="137"/>
      <c r="T26" s="137"/>
      <c r="U26" s="137"/>
      <c r="V26" s="137"/>
      <c r="W26" s="137"/>
    </row>
    <row r="27" spans="1:23" x14ac:dyDescent="0.2">
      <c r="A27" s="137"/>
      <c r="B27" s="137"/>
      <c r="C27" s="137"/>
      <c r="D27" s="137"/>
      <c r="E27" s="137"/>
      <c r="F27" s="137"/>
      <c r="G27" s="137"/>
      <c r="H27" s="137"/>
      <c r="I27" s="137"/>
      <c r="J27" s="137"/>
      <c r="K27" s="137"/>
      <c r="L27" s="137"/>
      <c r="M27" s="137"/>
      <c r="N27" s="137"/>
      <c r="O27" s="137"/>
      <c r="P27" s="137"/>
      <c r="Q27" s="137"/>
      <c r="R27" s="137"/>
      <c r="S27" s="137"/>
      <c r="T27" s="137"/>
      <c r="U27" s="137"/>
      <c r="V27" s="137"/>
      <c r="W27" s="137"/>
    </row>
    <row r="28" spans="1:23" x14ac:dyDescent="0.2">
      <c r="A28" s="137"/>
      <c r="B28" s="137"/>
      <c r="C28" s="137"/>
      <c r="D28" s="137"/>
      <c r="E28" s="137"/>
      <c r="F28" s="137"/>
      <c r="G28" s="137"/>
      <c r="H28" s="137"/>
      <c r="I28" s="137"/>
      <c r="J28" s="137"/>
      <c r="K28" s="137"/>
      <c r="L28" s="137"/>
      <c r="M28" s="137"/>
      <c r="N28" s="137"/>
      <c r="O28" s="137"/>
      <c r="P28" s="137"/>
      <c r="Q28" s="137"/>
      <c r="R28" s="137"/>
      <c r="S28" s="137"/>
      <c r="T28" s="137"/>
      <c r="U28" s="137"/>
      <c r="V28" s="137"/>
      <c r="W28" s="137"/>
    </row>
    <row r="29" spans="1:23" x14ac:dyDescent="0.2">
      <c r="A29" s="137"/>
      <c r="B29" s="137"/>
      <c r="C29" s="137"/>
      <c r="D29" s="137"/>
      <c r="E29" s="137"/>
      <c r="F29" s="137"/>
      <c r="G29" s="137"/>
      <c r="H29" s="137"/>
      <c r="I29" s="137"/>
      <c r="J29" s="137"/>
      <c r="K29" s="137"/>
      <c r="L29" s="137"/>
      <c r="M29" s="137"/>
      <c r="N29" s="137"/>
      <c r="O29" s="137"/>
      <c r="P29" s="137"/>
      <c r="Q29" s="137"/>
      <c r="R29" s="137"/>
      <c r="S29" s="137"/>
      <c r="T29" s="137"/>
      <c r="U29" s="137"/>
      <c r="V29" s="137"/>
      <c r="W29" s="137"/>
    </row>
    <row r="30" spans="1:23" x14ac:dyDescent="0.2">
      <c r="A30" s="137"/>
      <c r="B30" s="137"/>
      <c r="C30" s="137"/>
      <c r="D30" s="137"/>
      <c r="E30" s="137"/>
      <c r="F30" s="137"/>
      <c r="G30" s="137"/>
      <c r="H30" s="137"/>
      <c r="I30" s="137"/>
      <c r="J30" s="137"/>
      <c r="K30" s="137"/>
      <c r="L30" s="137"/>
      <c r="M30" s="137"/>
      <c r="N30" s="137"/>
      <c r="O30" s="137"/>
      <c r="P30" s="137"/>
      <c r="Q30" s="137"/>
      <c r="R30" s="137"/>
      <c r="S30" s="137"/>
      <c r="T30" s="137"/>
      <c r="U30" s="137"/>
      <c r="V30" s="137"/>
      <c r="W30" s="137"/>
    </row>
    <row r="31" spans="1:23" x14ac:dyDescent="0.2">
      <c r="A31" s="137"/>
      <c r="B31" s="137"/>
      <c r="C31" s="137"/>
      <c r="D31" s="137"/>
      <c r="E31" s="137"/>
      <c r="F31" s="137"/>
      <c r="G31" s="137"/>
      <c r="H31" s="137"/>
      <c r="I31" s="137"/>
      <c r="J31" s="137"/>
      <c r="K31" s="137"/>
      <c r="L31" s="137"/>
      <c r="M31" s="137"/>
      <c r="N31" s="137"/>
      <c r="O31" s="137"/>
      <c r="P31" s="137"/>
      <c r="Q31" s="137"/>
      <c r="R31" s="137"/>
      <c r="S31" s="137"/>
      <c r="T31" s="137"/>
      <c r="U31" s="137"/>
      <c r="V31" s="137"/>
      <c r="W31" s="137"/>
    </row>
    <row r="32" spans="1:23" x14ac:dyDescent="0.2">
      <c r="A32" s="137"/>
      <c r="B32" s="137"/>
      <c r="C32" s="137"/>
      <c r="D32" s="137"/>
      <c r="E32" s="137"/>
      <c r="F32" s="137"/>
      <c r="G32" s="137"/>
      <c r="H32" s="137"/>
      <c r="I32" s="137"/>
      <c r="J32" s="137"/>
      <c r="K32" s="137"/>
      <c r="L32" s="137"/>
      <c r="M32" s="137"/>
      <c r="N32" s="137"/>
      <c r="O32" s="137"/>
      <c r="P32" s="137"/>
      <c r="Q32" s="137"/>
      <c r="R32" s="137"/>
      <c r="S32" s="137"/>
      <c r="T32" s="137"/>
      <c r="U32" s="137"/>
      <c r="V32" s="137"/>
      <c r="W32" s="137"/>
    </row>
    <row r="33" spans="1:23" x14ac:dyDescent="0.2">
      <c r="A33" s="137"/>
      <c r="B33" s="137"/>
      <c r="C33" s="137"/>
      <c r="D33" s="137"/>
      <c r="E33" s="137"/>
      <c r="F33" s="137"/>
      <c r="G33" s="137"/>
      <c r="H33" s="137"/>
      <c r="I33" s="137"/>
      <c r="J33" s="137"/>
      <c r="K33" s="137"/>
      <c r="L33" s="137"/>
      <c r="M33" s="137"/>
      <c r="N33" s="137"/>
      <c r="O33" s="137"/>
      <c r="P33" s="137"/>
      <c r="Q33" s="137"/>
      <c r="R33" s="137"/>
      <c r="S33" s="137"/>
      <c r="T33" s="137"/>
      <c r="U33" s="137"/>
      <c r="V33" s="137"/>
      <c r="W33" s="137"/>
    </row>
    <row r="34" spans="1:23" x14ac:dyDescent="0.2">
      <c r="A34" s="137"/>
      <c r="B34" s="137"/>
      <c r="C34" s="137"/>
      <c r="D34" s="137"/>
      <c r="E34" s="137"/>
      <c r="F34" s="137"/>
      <c r="G34" s="137"/>
      <c r="H34" s="137"/>
      <c r="I34" s="137"/>
      <c r="J34" s="137"/>
      <c r="K34" s="137"/>
      <c r="L34" s="137"/>
      <c r="M34" s="137"/>
      <c r="N34" s="137"/>
      <c r="O34" s="137"/>
      <c r="P34" s="137"/>
      <c r="Q34" s="137"/>
      <c r="R34" s="137"/>
      <c r="S34" s="137"/>
      <c r="T34" s="137"/>
      <c r="U34" s="137"/>
      <c r="V34" s="137"/>
      <c r="W34" s="137"/>
    </row>
    <row r="35" spans="1:23" x14ac:dyDescent="0.2">
      <c r="A35" s="137"/>
      <c r="B35" s="137"/>
      <c r="C35" s="137"/>
      <c r="D35" s="137"/>
      <c r="E35" s="137"/>
      <c r="F35" s="137"/>
      <c r="G35" s="137"/>
      <c r="H35" s="137"/>
      <c r="I35" s="137"/>
      <c r="J35" s="137"/>
      <c r="K35" s="137"/>
      <c r="L35" s="137"/>
      <c r="M35" s="137"/>
      <c r="N35" s="137"/>
      <c r="O35" s="137"/>
      <c r="P35" s="137"/>
      <c r="Q35" s="137"/>
      <c r="R35" s="137"/>
      <c r="S35" s="137"/>
      <c r="T35" s="137"/>
      <c r="U35" s="137"/>
      <c r="V35" s="137"/>
      <c r="W35" s="137"/>
    </row>
    <row r="36" spans="1:23" x14ac:dyDescent="0.2">
      <c r="A36" s="137"/>
      <c r="B36" s="137"/>
      <c r="C36" s="137"/>
      <c r="D36" s="137"/>
      <c r="E36" s="137"/>
      <c r="F36" s="137"/>
      <c r="G36" s="137"/>
      <c r="H36" s="137"/>
      <c r="I36" s="137"/>
      <c r="J36" s="137"/>
      <c r="K36" s="137"/>
      <c r="L36" s="137"/>
      <c r="M36" s="137"/>
      <c r="N36" s="137"/>
      <c r="O36" s="137"/>
      <c r="P36" s="137"/>
      <c r="Q36" s="137"/>
      <c r="R36" s="137"/>
      <c r="S36" s="137"/>
      <c r="T36" s="137"/>
      <c r="U36" s="137"/>
      <c r="V36" s="137"/>
      <c r="W36" s="137"/>
    </row>
    <row r="37" spans="1:23" x14ac:dyDescent="0.2">
      <c r="A37" s="137"/>
      <c r="B37" s="137"/>
      <c r="C37" s="137"/>
      <c r="D37" s="137"/>
      <c r="E37" s="137"/>
      <c r="F37" s="137"/>
      <c r="G37" s="137"/>
      <c r="H37" s="137"/>
      <c r="I37" s="137"/>
      <c r="J37" s="137"/>
      <c r="K37" s="137"/>
      <c r="L37" s="137"/>
      <c r="M37" s="137"/>
      <c r="N37" s="137"/>
      <c r="O37" s="137"/>
      <c r="P37" s="137"/>
      <c r="Q37" s="137"/>
      <c r="R37" s="137"/>
      <c r="S37" s="137"/>
      <c r="T37" s="137"/>
      <c r="U37" s="137"/>
      <c r="V37" s="137"/>
      <c r="W37" s="137"/>
    </row>
    <row r="38" spans="1:23" x14ac:dyDescent="0.2">
      <c r="A38" s="137"/>
      <c r="B38" s="137"/>
      <c r="C38" s="137"/>
      <c r="D38" s="137"/>
      <c r="E38" s="137"/>
      <c r="F38" s="137"/>
      <c r="G38" s="137"/>
      <c r="H38" s="137"/>
      <c r="I38" s="137"/>
      <c r="J38" s="137"/>
      <c r="K38" s="137"/>
      <c r="L38" s="137"/>
      <c r="M38" s="137"/>
      <c r="N38" s="137"/>
      <c r="O38" s="137"/>
      <c r="P38" s="137"/>
      <c r="Q38" s="137"/>
      <c r="R38" s="137"/>
      <c r="S38" s="137"/>
      <c r="T38" s="137"/>
      <c r="U38" s="137"/>
      <c r="V38" s="137"/>
      <c r="W38" s="137"/>
    </row>
    <row r="39" spans="1:23" x14ac:dyDescent="0.2">
      <c r="A39" s="137"/>
      <c r="B39" s="137"/>
      <c r="C39" s="137"/>
      <c r="D39" s="137"/>
      <c r="E39" s="137"/>
      <c r="F39" s="137"/>
      <c r="G39" s="137"/>
      <c r="H39" s="137"/>
      <c r="I39" s="137"/>
      <c r="J39" s="137"/>
      <c r="K39" s="137"/>
      <c r="L39" s="137"/>
      <c r="M39" s="137"/>
      <c r="N39" s="137"/>
      <c r="O39" s="137"/>
      <c r="P39" s="137"/>
      <c r="Q39" s="137"/>
      <c r="R39" s="137"/>
      <c r="S39" s="137"/>
      <c r="T39" s="137"/>
      <c r="U39" s="137"/>
      <c r="V39" s="137"/>
      <c r="W39" s="137"/>
    </row>
    <row r="40" spans="1:23" x14ac:dyDescent="0.2">
      <c r="A40" s="137"/>
      <c r="B40" s="137"/>
      <c r="C40" s="137"/>
      <c r="D40" s="137"/>
      <c r="E40" s="137"/>
      <c r="F40" s="137"/>
      <c r="G40" s="137"/>
      <c r="H40" s="137"/>
      <c r="I40" s="137"/>
      <c r="J40" s="137"/>
      <c r="K40" s="137"/>
      <c r="L40" s="137"/>
      <c r="M40" s="137"/>
      <c r="N40" s="137"/>
      <c r="O40" s="137"/>
      <c r="P40" s="137"/>
      <c r="Q40" s="137"/>
      <c r="R40" s="137"/>
      <c r="S40" s="137"/>
      <c r="T40" s="137"/>
      <c r="U40" s="137"/>
      <c r="V40" s="137"/>
      <c r="W40" s="137"/>
    </row>
    <row r="41" spans="1:23" x14ac:dyDescent="0.2">
      <c r="A41" s="137"/>
      <c r="B41" s="137"/>
      <c r="C41" s="137"/>
      <c r="D41" s="137"/>
      <c r="E41" s="137"/>
      <c r="F41" s="137"/>
      <c r="G41" s="137"/>
      <c r="H41" s="137"/>
      <c r="I41" s="137"/>
      <c r="J41" s="137"/>
      <c r="K41" s="137"/>
      <c r="L41" s="137"/>
      <c r="M41" s="137"/>
      <c r="N41" s="137"/>
      <c r="O41" s="137"/>
      <c r="P41" s="137"/>
      <c r="Q41" s="137"/>
      <c r="R41" s="137"/>
      <c r="S41" s="137"/>
      <c r="T41" s="137"/>
      <c r="U41" s="137"/>
      <c r="V41" s="137"/>
      <c r="W41" s="137"/>
    </row>
    <row r="42" spans="1:23" x14ac:dyDescent="0.2">
      <c r="A42" s="137"/>
      <c r="B42" s="137"/>
      <c r="C42" s="137"/>
      <c r="D42" s="137"/>
      <c r="E42" s="137"/>
      <c r="F42" s="137"/>
      <c r="G42" s="137"/>
      <c r="H42" s="137"/>
      <c r="I42" s="137"/>
      <c r="J42" s="137"/>
      <c r="K42" s="137"/>
      <c r="L42" s="137"/>
      <c r="M42" s="137"/>
      <c r="N42" s="137"/>
      <c r="O42" s="137"/>
      <c r="P42" s="137"/>
      <c r="Q42" s="137"/>
      <c r="R42" s="137"/>
      <c r="S42" s="137"/>
      <c r="T42" s="137"/>
      <c r="U42" s="137"/>
      <c r="V42" s="137"/>
      <c r="W42" s="137"/>
    </row>
    <row r="43" spans="1:23" x14ac:dyDescent="0.2">
      <c r="A43" s="137"/>
      <c r="B43" s="137"/>
      <c r="C43" s="137"/>
      <c r="D43" s="137"/>
      <c r="E43" s="137"/>
      <c r="F43" s="137"/>
      <c r="G43" s="137"/>
      <c r="H43" s="137"/>
      <c r="I43" s="137"/>
      <c r="J43" s="137"/>
      <c r="K43" s="137"/>
      <c r="L43" s="137"/>
      <c r="M43" s="137"/>
      <c r="N43" s="137"/>
      <c r="O43" s="137"/>
      <c r="P43" s="137"/>
      <c r="Q43" s="137"/>
      <c r="R43" s="137"/>
      <c r="S43" s="137"/>
      <c r="T43" s="137"/>
      <c r="U43" s="137"/>
      <c r="V43" s="137"/>
      <c r="W43" s="137"/>
    </row>
    <row r="44" spans="1:23" x14ac:dyDescent="0.2">
      <c r="A44" s="137"/>
      <c r="B44" s="137"/>
      <c r="C44" s="137"/>
      <c r="D44" s="137"/>
      <c r="E44" s="137"/>
      <c r="F44" s="137"/>
      <c r="G44" s="137"/>
      <c r="H44" s="137"/>
      <c r="I44" s="137"/>
      <c r="J44" s="137"/>
      <c r="K44" s="137"/>
      <c r="L44" s="137"/>
      <c r="M44" s="137"/>
      <c r="N44" s="137"/>
      <c r="O44" s="137"/>
      <c r="P44" s="137"/>
      <c r="Q44" s="137"/>
      <c r="R44" s="137"/>
      <c r="S44" s="137"/>
      <c r="T44" s="137"/>
      <c r="U44" s="137"/>
      <c r="V44" s="137"/>
      <c r="W44" s="137"/>
    </row>
    <row r="45" spans="1:23" x14ac:dyDescent="0.2">
      <c r="A45" s="137"/>
      <c r="B45" s="137"/>
      <c r="C45" s="137"/>
      <c r="D45" s="137"/>
      <c r="E45" s="137"/>
      <c r="F45" s="137"/>
      <c r="G45" s="137"/>
      <c r="H45" s="137"/>
      <c r="I45" s="137"/>
      <c r="J45" s="137"/>
      <c r="K45" s="137"/>
      <c r="L45" s="137"/>
      <c r="M45" s="137"/>
      <c r="N45" s="137"/>
      <c r="O45" s="137"/>
      <c r="P45" s="137"/>
      <c r="Q45" s="137"/>
      <c r="R45" s="137"/>
      <c r="S45" s="137"/>
      <c r="T45" s="137"/>
      <c r="U45" s="137"/>
      <c r="V45" s="137"/>
      <c r="W45" s="137"/>
    </row>
    <row r="46" spans="1:23" x14ac:dyDescent="0.2">
      <c r="A46" s="137"/>
      <c r="B46" s="137"/>
      <c r="C46" s="137"/>
      <c r="D46" s="137"/>
      <c r="E46" s="137"/>
      <c r="F46" s="137"/>
      <c r="G46" s="137"/>
      <c r="H46" s="137"/>
      <c r="I46" s="137"/>
      <c r="J46" s="137"/>
      <c r="K46" s="137"/>
      <c r="L46" s="137"/>
      <c r="M46" s="137"/>
      <c r="N46" s="137"/>
      <c r="O46" s="137"/>
      <c r="P46" s="137"/>
      <c r="Q46" s="137"/>
      <c r="R46" s="137"/>
      <c r="S46" s="137"/>
      <c r="T46" s="137"/>
      <c r="U46" s="137"/>
      <c r="V46" s="137"/>
      <c r="W46" s="137"/>
    </row>
    <row r="47" spans="1:23" x14ac:dyDescent="0.2">
      <c r="A47" s="137"/>
      <c r="B47" s="137"/>
      <c r="C47" s="137"/>
      <c r="D47" s="137"/>
      <c r="E47" s="137"/>
      <c r="F47" s="137"/>
      <c r="G47" s="137"/>
      <c r="H47" s="137"/>
      <c r="I47" s="137"/>
      <c r="J47" s="137"/>
      <c r="K47" s="137"/>
      <c r="L47" s="137"/>
      <c r="M47" s="137"/>
      <c r="N47" s="137"/>
      <c r="O47" s="137"/>
      <c r="P47" s="137"/>
      <c r="Q47" s="137"/>
      <c r="R47" s="137"/>
      <c r="S47" s="137"/>
      <c r="T47" s="137"/>
      <c r="U47" s="137"/>
      <c r="V47" s="137"/>
      <c r="W47" s="137"/>
    </row>
    <row r="48" spans="1:23" x14ac:dyDescent="0.2">
      <c r="A48" s="137"/>
      <c r="B48" s="137"/>
      <c r="C48" s="137"/>
      <c r="D48" s="137"/>
      <c r="E48" s="137"/>
      <c r="F48" s="137"/>
      <c r="G48" s="137"/>
      <c r="H48" s="137"/>
      <c r="I48" s="137"/>
      <c r="J48" s="137"/>
      <c r="K48" s="137"/>
      <c r="L48" s="137"/>
      <c r="M48" s="137"/>
      <c r="N48" s="137"/>
      <c r="O48" s="137"/>
      <c r="P48" s="137"/>
      <c r="Q48" s="137"/>
      <c r="R48" s="137"/>
      <c r="S48" s="137"/>
      <c r="T48" s="137"/>
      <c r="U48" s="137"/>
      <c r="V48" s="137"/>
      <c r="W48" s="137"/>
    </row>
    <row r="49" spans="1:23" x14ac:dyDescent="0.2">
      <c r="A49" s="137"/>
      <c r="B49" s="137"/>
      <c r="C49" s="137"/>
      <c r="D49" s="137"/>
      <c r="E49" s="137"/>
      <c r="F49" s="137"/>
      <c r="G49" s="137"/>
      <c r="H49" s="137"/>
      <c r="I49" s="137"/>
      <c r="J49" s="137"/>
      <c r="K49" s="137"/>
      <c r="L49" s="137"/>
      <c r="M49" s="137"/>
      <c r="N49" s="137"/>
      <c r="O49" s="137"/>
      <c r="P49" s="137"/>
      <c r="Q49" s="137"/>
      <c r="R49" s="137"/>
      <c r="S49" s="137"/>
      <c r="T49" s="137"/>
      <c r="U49" s="137"/>
      <c r="V49" s="137"/>
      <c r="W49" s="137"/>
    </row>
    <row r="50" spans="1:23" x14ac:dyDescent="0.2">
      <c r="A50" s="137"/>
      <c r="B50" s="137"/>
      <c r="C50" s="137"/>
      <c r="D50" s="137"/>
      <c r="E50" s="137"/>
      <c r="F50" s="137"/>
      <c r="G50" s="137"/>
      <c r="H50" s="137"/>
      <c r="I50" s="137"/>
      <c r="J50" s="137"/>
      <c r="K50" s="137"/>
      <c r="L50" s="137"/>
      <c r="M50" s="137"/>
      <c r="N50" s="137"/>
      <c r="O50" s="137"/>
      <c r="P50" s="137"/>
      <c r="Q50" s="137"/>
      <c r="R50" s="137"/>
      <c r="S50" s="137"/>
      <c r="T50" s="137"/>
      <c r="U50" s="137"/>
      <c r="V50" s="137"/>
      <c r="W50" s="137"/>
    </row>
    <row r="51" spans="1:23" x14ac:dyDescent="0.2">
      <c r="A51" s="137"/>
      <c r="B51" s="137"/>
      <c r="C51" s="137"/>
      <c r="D51" s="137"/>
      <c r="E51" s="137"/>
      <c r="F51" s="137"/>
      <c r="G51" s="137"/>
      <c r="H51" s="137"/>
      <c r="I51" s="137"/>
      <c r="J51" s="137"/>
      <c r="K51" s="137"/>
      <c r="L51" s="137"/>
      <c r="M51" s="137"/>
      <c r="N51" s="137"/>
      <c r="O51" s="137"/>
      <c r="P51" s="137"/>
      <c r="Q51" s="137"/>
      <c r="R51" s="137"/>
      <c r="S51" s="137"/>
      <c r="T51" s="137"/>
      <c r="U51" s="137"/>
      <c r="V51" s="137"/>
      <c r="W51" s="137"/>
    </row>
    <row r="52" spans="1:23" x14ac:dyDescent="0.2">
      <c r="A52" s="137"/>
      <c r="B52" s="137"/>
      <c r="C52" s="137"/>
      <c r="D52" s="137"/>
      <c r="E52" s="137"/>
      <c r="F52" s="137"/>
      <c r="G52" s="137"/>
      <c r="H52" s="137"/>
      <c r="I52" s="137"/>
      <c r="J52" s="137"/>
      <c r="K52" s="137"/>
      <c r="L52" s="137"/>
      <c r="M52" s="137"/>
      <c r="N52" s="137"/>
      <c r="O52" s="137"/>
      <c r="P52" s="137"/>
      <c r="Q52" s="137"/>
      <c r="R52" s="137"/>
      <c r="S52" s="137"/>
      <c r="T52" s="137"/>
      <c r="U52" s="137"/>
      <c r="V52" s="137"/>
      <c r="W52" s="137"/>
    </row>
    <row r="53" spans="1:23" x14ac:dyDescent="0.2">
      <c r="A53" s="137"/>
      <c r="B53" s="137"/>
      <c r="C53" s="137"/>
      <c r="D53" s="137"/>
      <c r="E53" s="137"/>
      <c r="F53" s="137"/>
      <c r="G53" s="137"/>
      <c r="H53" s="137"/>
      <c r="I53" s="137"/>
      <c r="J53" s="137"/>
      <c r="K53" s="137"/>
      <c r="L53" s="137"/>
      <c r="M53" s="137"/>
      <c r="N53" s="137"/>
      <c r="O53" s="137"/>
      <c r="P53" s="137"/>
      <c r="Q53" s="137"/>
      <c r="R53" s="137"/>
      <c r="S53" s="137"/>
      <c r="T53" s="137"/>
      <c r="U53" s="137"/>
      <c r="V53" s="137"/>
      <c r="W53" s="137"/>
    </row>
    <row r="54" spans="1:23" x14ac:dyDescent="0.2">
      <c r="A54" s="137"/>
      <c r="B54" s="137"/>
      <c r="C54" s="137"/>
      <c r="D54" s="137"/>
      <c r="E54" s="137"/>
      <c r="F54" s="137"/>
      <c r="G54" s="137"/>
      <c r="H54" s="137"/>
      <c r="I54" s="137"/>
      <c r="J54" s="137"/>
      <c r="K54" s="137"/>
      <c r="L54" s="137"/>
      <c r="M54" s="137"/>
      <c r="N54" s="137"/>
      <c r="O54" s="137"/>
      <c r="P54" s="137"/>
      <c r="Q54" s="137"/>
      <c r="R54" s="137"/>
      <c r="S54" s="137"/>
      <c r="T54" s="137"/>
      <c r="U54" s="137"/>
      <c r="V54" s="137"/>
      <c r="W54" s="137"/>
    </row>
    <row r="55" spans="1:23" x14ac:dyDescent="0.2">
      <c r="A55" s="137"/>
      <c r="B55" s="137"/>
      <c r="C55" s="137"/>
      <c r="D55" s="137"/>
      <c r="E55" s="137"/>
      <c r="F55" s="137"/>
      <c r="G55" s="137"/>
      <c r="H55" s="137"/>
      <c r="I55" s="137"/>
      <c r="J55" s="137"/>
      <c r="K55" s="137"/>
      <c r="L55" s="137"/>
      <c r="M55" s="137"/>
      <c r="N55" s="137"/>
      <c r="O55" s="137"/>
      <c r="P55" s="137"/>
      <c r="Q55" s="137"/>
      <c r="R55" s="137"/>
      <c r="S55" s="137"/>
      <c r="T55" s="137"/>
      <c r="U55" s="137"/>
      <c r="V55" s="137"/>
      <c r="W55" s="137"/>
    </row>
    <row r="56" spans="1:23" x14ac:dyDescent="0.2">
      <c r="A56" s="137"/>
      <c r="B56" s="137"/>
      <c r="C56" s="137"/>
      <c r="D56" s="137"/>
      <c r="E56" s="137"/>
      <c r="F56" s="137"/>
      <c r="G56" s="137"/>
      <c r="H56" s="137"/>
      <c r="I56" s="137"/>
      <c r="J56" s="137"/>
      <c r="K56" s="137"/>
      <c r="L56" s="137"/>
      <c r="M56" s="137"/>
      <c r="N56" s="137"/>
      <c r="O56" s="137"/>
      <c r="P56" s="137"/>
      <c r="Q56" s="137"/>
      <c r="R56" s="137"/>
      <c r="S56" s="137"/>
      <c r="T56" s="137"/>
      <c r="U56" s="137"/>
      <c r="V56" s="137"/>
      <c r="W56" s="137"/>
    </row>
    <row r="57" spans="1:23" x14ac:dyDescent="0.2">
      <c r="A57" s="137"/>
      <c r="B57" s="137"/>
      <c r="C57" s="137"/>
      <c r="D57" s="137"/>
      <c r="E57" s="137"/>
      <c r="F57" s="137"/>
      <c r="G57" s="137"/>
      <c r="H57" s="137"/>
      <c r="I57" s="137"/>
      <c r="J57" s="137"/>
      <c r="K57" s="137"/>
      <c r="L57" s="137"/>
      <c r="M57" s="137"/>
      <c r="N57" s="137"/>
      <c r="O57" s="137"/>
      <c r="P57" s="137"/>
      <c r="Q57" s="137"/>
      <c r="R57" s="137"/>
      <c r="S57" s="137"/>
      <c r="T57" s="137"/>
      <c r="U57" s="137"/>
      <c r="V57" s="137"/>
      <c r="W57" s="137"/>
    </row>
    <row r="58" spans="1:23" x14ac:dyDescent="0.2">
      <c r="A58" s="137"/>
      <c r="B58" s="137"/>
      <c r="C58" s="137"/>
      <c r="D58" s="137"/>
      <c r="E58" s="137"/>
      <c r="F58" s="137"/>
      <c r="G58" s="137"/>
      <c r="H58" s="137"/>
      <c r="I58" s="137"/>
      <c r="J58" s="137"/>
      <c r="K58" s="137"/>
      <c r="L58" s="137"/>
      <c r="M58" s="137"/>
      <c r="N58" s="137"/>
      <c r="O58" s="137"/>
      <c r="P58" s="137"/>
      <c r="Q58" s="137"/>
      <c r="R58" s="137"/>
      <c r="S58" s="137"/>
      <c r="T58" s="137"/>
      <c r="U58" s="137"/>
      <c r="V58" s="137"/>
      <c r="W58" s="137"/>
    </row>
    <row r="59" spans="1:23" x14ac:dyDescent="0.2">
      <c r="A59" s="137"/>
      <c r="B59" s="137"/>
      <c r="C59" s="137"/>
      <c r="D59" s="137"/>
      <c r="E59" s="137"/>
      <c r="F59" s="137"/>
      <c r="G59" s="137"/>
      <c r="H59" s="137"/>
      <c r="I59" s="137"/>
      <c r="J59" s="137"/>
      <c r="K59" s="137"/>
      <c r="L59" s="137"/>
      <c r="M59" s="137"/>
      <c r="N59" s="137"/>
      <c r="O59" s="137"/>
      <c r="P59" s="137"/>
      <c r="Q59" s="137"/>
      <c r="R59" s="137"/>
      <c r="S59" s="137"/>
      <c r="T59" s="137"/>
      <c r="U59" s="137"/>
      <c r="V59" s="137"/>
      <c r="W59" s="137"/>
    </row>
    <row r="60" spans="1:23" x14ac:dyDescent="0.2">
      <c r="A60" s="137"/>
      <c r="B60" s="137"/>
      <c r="C60" s="137"/>
      <c r="D60" s="137"/>
      <c r="E60" s="137"/>
      <c r="F60" s="137"/>
      <c r="G60" s="137"/>
      <c r="H60" s="137"/>
      <c r="I60" s="137"/>
      <c r="J60" s="137"/>
      <c r="K60" s="137"/>
      <c r="L60" s="137"/>
      <c r="M60" s="137"/>
      <c r="N60" s="137"/>
      <c r="O60" s="137"/>
      <c r="P60" s="137"/>
      <c r="Q60" s="137"/>
      <c r="R60" s="137"/>
      <c r="S60" s="137"/>
      <c r="T60" s="137"/>
      <c r="U60" s="137"/>
      <c r="V60" s="137"/>
      <c r="W60" s="137"/>
    </row>
    <row r="61" spans="1:23" x14ac:dyDescent="0.2">
      <c r="A61" s="137"/>
      <c r="B61" s="137"/>
      <c r="C61" s="137"/>
      <c r="D61" s="137"/>
      <c r="E61" s="137"/>
      <c r="F61" s="137"/>
      <c r="G61" s="137"/>
      <c r="H61" s="137"/>
      <c r="I61" s="137"/>
      <c r="J61" s="137"/>
      <c r="K61" s="137"/>
      <c r="L61" s="137"/>
      <c r="M61" s="137"/>
      <c r="N61" s="137"/>
      <c r="O61" s="137"/>
      <c r="P61" s="137"/>
      <c r="Q61" s="137"/>
      <c r="R61" s="137"/>
      <c r="S61" s="137"/>
      <c r="T61" s="137"/>
      <c r="U61" s="137"/>
      <c r="V61" s="137"/>
      <c r="W61" s="137"/>
    </row>
    <row r="62" spans="1:23" x14ac:dyDescent="0.2">
      <c r="A62" s="137"/>
      <c r="B62" s="137"/>
      <c r="C62" s="137"/>
      <c r="D62" s="137"/>
      <c r="E62" s="137"/>
      <c r="F62" s="137"/>
      <c r="G62" s="137"/>
      <c r="H62" s="137"/>
      <c r="I62" s="137"/>
      <c r="J62" s="137"/>
      <c r="K62" s="137"/>
      <c r="L62" s="137"/>
      <c r="M62" s="137"/>
      <c r="N62" s="137"/>
      <c r="O62" s="137"/>
      <c r="P62" s="137"/>
      <c r="Q62" s="137"/>
      <c r="R62" s="137"/>
      <c r="S62" s="137"/>
      <c r="T62" s="137"/>
      <c r="U62" s="137"/>
      <c r="V62" s="137"/>
      <c r="W62" s="137"/>
    </row>
    <row r="63" spans="1:23" x14ac:dyDescent="0.2">
      <c r="A63" s="137"/>
      <c r="B63" s="137"/>
      <c r="C63" s="137"/>
      <c r="D63" s="137"/>
      <c r="E63" s="137"/>
      <c r="F63" s="137"/>
      <c r="G63" s="137"/>
      <c r="H63" s="137"/>
      <c r="I63" s="137"/>
      <c r="J63" s="137"/>
      <c r="K63" s="137"/>
      <c r="L63" s="137"/>
      <c r="M63" s="137"/>
      <c r="N63" s="137"/>
      <c r="O63" s="137"/>
      <c r="P63" s="137"/>
      <c r="Q63" s="137"/>
      <c r="R63" s="137"/>
      <c r="S63" s="137"/>
      <c r="T63" s="137"/>
      <c r="U63" s="137"/>
      <c r="V63" s="137"/>
      <c r="W63" s="137"/>
    </row>
    <row r="64" spans="1:23" x14ac:dyDescent="0.2">
      <c r="A64" s="137"/>
      <c r="B64" s="137"/>
      <c r="C64" s="137"/>
      <c r="D64" s="137"/>
      <c r="E64" s="137"/>
      <c r="F64" s="137"/>
      <c r="G64" s="137"/>
      <c r="H64" s="137"/>
      <c r="I64" s="137"/>
      <c r="J64" s="137"/>
      <c r="K64" s="137"/>
      <c r="L64" s="137"/>
      <c r="M64" s="137"/>
      <c r="N64" s="137"/>
      <c r="O64" s="137"/>
      <c r="P64" s="137"/>
      <c r="Q64" s="137"/>
      <c r="R64" s="137"/>
      <c r="S64" s="137"/>
      <c r="T64" s="137"/>
      <c r="U64" s="137"/>
      <c r="V64" s="137"/>
      <c r="W64" s="137"/>
    </row>
    <row r="65" spans="1:23" x14ac:dyDescent="0.2">
      <c r="A65" s="137"/>
      <c r="B65" s="137"/>
      <c r="C65" s="137"/>
      <c r="D65" s="137"/>
      <c r="E65" s="137"/>
      <c r="F65" s="137"/>
      <c r="G65" s="137"/>
      <c r="H65" s="137"/>
      <c r="I65" s="137"/>
      <c r="J65" s="137"/>
      <c r="K65" s="137"/>
      <c r="L65" s="137"/>
      <c r="M65" s="137"/>
      <c r="N65" s="137"/>
      <c r="O65" s="137"/>
      <c r="P65" s="137"/>
      <c r="Q65" s="137"/>
      <c r="R65" s="137"/>
      <c r="S65" s="137"/>
      <c r="T65" s="137"/>
      <c r="U65" s="137"/>
      <c r="V65" s="137"/>
      <c r="W65" s="137"/>
    </row>
    <row r="66" spans="1:23" x14ac:dyDescent="0.2">
      <c r="A66" s="137"/>
      <c r="B66" s="137"/>
      <c r="C66" s="137"/>
      <c r="D66" s="137"/>
      <c r="E66" s="137"/>
      <c r="F66" s="137"/>
      <c r="G66" s="137"/>
      <c r="H66" s="137"/>
      <c r="I66" s="137"/>
      <c r="J66" s="137"/>
      <c r="K66" s="137"/>
      <c r="L66" s="137"/>
      <c r="M66" s="137"/>
      <c r="N66" s="137"/>
      <c r="O66" s="137"/>
      <c r="P66" s="137"/>
      <c r="Q66" s="137"/>
      <c r="R66" s="137"/>
      <c r="S66" s="137"/>
      <c r="T66" s="137"/>
      <c r="U66" s="137"/>
      <c r="V66" s="137"/>
      <c r="W66" s="137"/>
    </row>
    <row r="67" spans="1:23" x14ac:dyDescent="0.2">
      <c r="A67" s="137"/>
      <c r="B67" s="137"/>
      <c r="C67" s="137"/>
      <c r="D67" s="137"/>
      <c r="E67" s="137"/>
      <c r="F67" s="137"/>
      <c r="G67" s="137"/>
      <c r="H67" s="137"/>
      <c r="I67" s="137"/>
      <c r="J67" s="137"/>
      <c r="K67" s="137"/>
      <c r="L67" s="137"/>
      <c r="M67" s="137"/>
      <c r="N67" s="137"/>
      <c r="O67" s="137"/>
      <c r="P67" s="137"/>
      <c r="Q67" s="137"/>
      <c r="R67" s="137"/>
      <c r="S67" s="137"/>
      <c r="T67" s="137"/>
      <c r="U67" s="137"/>
      <c r="V67" s="137"/>
      <c r="W67" s="137"/>
    </row>
    <row r="68" spans="1:23" x14ac:dyDescent="0.2">
      <c r="A68" s="137"/>
      <c r="B68" s="137"/>
      <c r="C68" s="137"/>
      <c r="D68" s="137"/>
      <c r="E68" s="137"/>
      <c r="F68" s="137"/>
      <c r="G68" s="137"/>
      <c r="H68" s="137"/>
      <c r="I68" s="137"/>
      <c r="J68" s="137"/>
      <c r="K68" s="137"/>
      <c r="L68" s="137"/>
      <c r="M68" s="137"/>
      <c r="N68" s="137"/>
      <c r="O68" s="137"/>
      <c r="P68" s="137"/>
      <c r="Q68" s="137"/>
      <c r="R68" s="137"/>
      <c r="S68" s="137"/>
      <c r="T68" s="137"/>
      <c r="U68" s="137"/>
      <c r="V68" s="137"/>
      <c r="W68" s="137"/>
    </row>
    <row r="69" spans="1:23" x14ac:dyDescent="0.2">
      <c r="A69" s="137"/>
      <c r="B69" s="137"/>
      <c r="C69" s="137"/>
      <c r="D69" s="137"/>
      <c r="E69" s="137"/>
      <c r="F69" s="137"/>
      <c r="G69" s="137"/>
      <c r="H69" s="137"/>
      <c r="I69" s="137"/>
      <c r="J69" s="137"/>
      <c r="K69" s="137"/>
      <c r="L69" s="137"/>
      <c r="M69" s="137"/>
      <c r="N69" s="137"/>
      <c r="O69" s="137"/>
      <c r="P69" s="137"/>
      <c r="Q69" s="137"/>
      <c r="R69" s="137"/>
      <c r="S69" s="137"/>
      <c r="T69" s="137"/>
      <c r="U69" s="137"/>
      <c r="V69" s="137"/>
      <c r="W69" s="137"/>
    </row>
    <row r="70" spans="1:23" x14ac:dyDescent="0.2">
      <c r="A70" s="137"/>
      <c r="B70" s="137"/>
      <c r="C70" s="137"/>
      <c r="D70" s="137"/>
      <c r="E70" s="137"/>
      <c r="F70" s="137"/>
      <c r="G70" s="137"/>
      <c r="H70" s="137"/>
      <c r="I70" s="137"/>
      <c r="J70" s="137"/>
      <c r="K70" s="137"/>
      <c r="L70" s="137"/>
      <c r="M70" s="137"/>
      <c r="N70" s="137"/>
      <c r="O70" s="137"/>
      <c r="P70" s="137"/>
      <c r="Q70" s="137"/>
      <c r="R70" s="137"/>
      <c r="S70" s="137"/>
      <c r="T70" s="137"/>
      <c r="U70" s="137"/>
      <c r="V70" s="137"/>
      <c r="W70" s="137"/>
    </row>
    <row r="71" spans="1:23" x14ac:dyDescent="0.2">
      <c r="A71" s="137"/>
      <c r="B71" s="137"/>
      <c r="C71" s="137"/>
      <c r="D71" s="137"/>
      <c r="E71" s="137"/>
      <c r="F71" s="137"/>
      <c r="G71" s="137"/>
      <c r="H71" s="137"/>
      <c r="I71" s="137"/>
      <c r="J71" s="137"/>
      <c r="K71" s="137"/>
      <c r="L71" s="137"/>
      <c r="M71" s="137"/>
      <c r="N71" s="137"/>
      <c r="O71" s="137"/>
      <c r="P71" s="137"/>
      <c r="Q71" s="137"/>
      <c r="R71" s="137"/>
      <c r="S71" s="137"/>
      <c r="T71" s="137"/>
      <c r="U71" s="137"/>
      <c r="V71" s="137"/>
      <c r="W71" s="137"/>
    </row>
    <row r="72" spans="1:23" x14ac:dyDescent="0.2">
      <c r="A72" s="137"/>
      <c r="B72" s="137"/>
      <c r="C72" s="137"/>
      <c r="D72" s="137"/>
      <c r="E72" s="137"/>
      <c r="F72" s="137"/>
      <c r="G72" s="137"/>
      <c r="H72" s="137"/>
      <c r="I72" s="137"/>
      <c r="J72" s="137"/>
      <c r="K72" s="137"/>
      <c r="L72" s="137"/>
      <c r="M72" s="137"/>
      <c r="N72" s="137"/>
      <c r="O72" s="137"/>
      <c r="P72" s="137"/>
      <c r="Q72" s="137"/>
      <c r="R72" s="137"/>
      <c r="S72" s="137"/>
      <c r="T72" s="137"/>
      <c r="U72" s="137"/>
      <c r="V72" s="137"/>
      <c r="W72" s="137"/>
    </row>
    <row r="73" spans="1:23" x14ac:dyDescent="0.2">
      <c r="A73" s="137"/>
      <c r="B73" s="137"/>
      <c r="C73" s="137"/>
      <c r="D73" s="137"/>
      <c r="E73" s="137"/>
      <c r="F73" s="137"/>
      <c r="G73" s="137"/>
      <c r="H73" s="137"/>
      <c r="I73" s="137"/>
      <c r="J73" s="137"/>
      <c r="K73" s="137"/>
      <c r="L73" s="137"/>
      <c r="M73" s="137"/>
      <c r="N73" s="137"/>
      <c r="O73" s="137"/>
      <c r="P73" s="137"/>
      <c r="Q73" s="137"/>
      <c r="R73" s="137"/>
      <c r="S73" s="137"/>
      <c r="T73" s="137"/>
      <c r="U73" s="137"/>
      <c r="V73" s="137"/>
      <c r="W73" s="137"/>
    </row>
    <row r="74" spans="1:23" x14ac:dyDescent="0.2">
      <c r="A74" s="137"/>
      <c r="B74" s="137"/>
      <c r="C74" s="137"/>
      <c r="D74" s="137"/>
      <c r="E74" s="137"/>
      <c r="F74" s="137"/>
      <c r="G74" s="137"/>
      <c r="H74" s="137"/>
      <c r="I74" s="137"/>
      <c r="J74" s="137"/>
      <c r="K74" s="137"/>
      <c r="L74" s="137"/>
      <c r="M74" s="137"/>
      <c r="N74" s="137"/>
      <c r="O74" s="137"/>
      <c r="P74" s="137"/>
      <c r="Q74" s="137"/>
      <c r="R74" s="137"/>
      <c r="S74" s="137"/>
      <c r="T74" s="137"/>
      <c r="U74" s="137"/>
      <c r="V74" s="137"/>
      <c r="W74" s="137"/>
    </row>
    <row r="75" spans="1:23" x14ac:dyDescent="0.2">
      <c r="A75" s="137"/>
      <c r="B75" s="137"/>
      <c r="C75" s="137"/>
      <c r="D75" s="137"/>
      <c r="E75" s="137"/>
      <c r="F75" s="137"/>
      <c r="G75" s="137"/>
      <c r="H75" s="137"/>
      <c r="I75" s="137"/>
      <c r="J75" s="137"/>
      <c r="K75" s="137"/>
      <c r="L75" s="137"/>
      <c r="M75" s="137"/>
      <c r="N75" s="137"/>
      <c r="O75" s="137"/>
      <c r="P75" s="137"/>
      <c r="Q75" s="137"/>
      <c r="R75" s="137"/>
      <c r="S75" s="137"/>
      <c r="T75" s="137"/>
      <c r="U75" s="137"/>
      <c r="V75" s="137"/>
      <c r="W75" s="137"/>
    </row>
    <row r="76" spans="1:23" x14ac:dyDescent="0.2">
      <c r="A76" s="137"/>
      <c r="B76" s="137"/>
      <c r="C76" s="137"/>
      <c r="D76" s="137"/>
      <c r="E76" s="137"/>
      <c r="F76" s="137"/>
      <c r="G76" s="137"/>
      <c r="H76" s="137"/>
      <c r="I76" s="137"/>
      <c r="J76" s="137"/>
      <c r="K76" s="137"/>
      <c r="L76" s="137"/>
      <c r="M76" s="137"/>
      <c r="N76" s="137"/>
      <c r="O76" s="137"/>
      <c r="P76" s="137"/>
      <c r="Q76" s="137"/>
      <c r="R76" s="137"/>
      <c r="S76" s="137"/>
      <c r="T76" s="137"/>
      <c r="U76" s="137"/>
      <c r="V76" s="137"/>
      <c r="W76" s="137"/>
    </row>
    <row r="77" spans="1:23" x14ac:dyDescent="0.2">
      <c r="A77" s="137"/>
      <c r="B77" s="137"/>
      <c r="C77" s="137"/>
      <c r="D77" s="137"/>
      <c r="E77" s="137"/>
      <c r="F77" s="137"/>
      <c r="G77" s="137"/>
      <c r="H77" s="137"/>
      <c r="I77" s="137"/>
      <c r="J77" s="137"/>
      <c r="K77" s="137"/>
      <c r="L77" s="137"/>
      <c r="M77" s="137"/>
      <c r="N77" s="137"/>
      <c r="O77" s="137"/>
      <c r="P77" s="137"/>
      <c r="Q77" s="137"/>
      <c r="R77" s="137"/>
      <c r="S77" s="137"/>
      <c r="T77" s="137"/>
      <c r="U77" s="137"/>
      <c r="V77" s="137"/>
      <c r="W77" s="137"/>
    </row>
    <row r="78" spans="1:23" x14ac:dyDescent="0.2">
      <c r="A78" s="137"/>
      <c r="B78" s="137"/>
      <c r="C78" s="137"/>
      <c r="D78" s="137"/>
      <c r="E78" s="137"/>
      <c r="F78" s="137"/>
      <c r="G78" s="137"/>
      <c r="H78" s="137"/>
      <c r="I78" s="137"/>
      <c r="J78" s="137"/>
      <c r="K78" s="137"/>
      <c r="L78" s="137"/>
      <c r="M78" s="137"/>
      <c r="N78" s="137"/>
      <c r="O78" s="137"/>
      <c r="P78" s="137"/>
      <c r="Q78" s="137"/>
      <c r="R78" s="137"/>
      <c r="S78" s="137"/>
      <c r="T78" s="137"/>
      <c r="U78" s="137"/>
      <c r="V78" s="137"/>
      <c r="W78" s="137"/>
    </row>
    <row r="79" spans="1:23" x14ac:dyDescent="0.2">
      <c r="A79" s="137"/>
      <c r="B79" s="137"/>
      <c r="C79" s="137"/>
      <c r="D79" s="137"/>
      <c r="E79" s="137"/>
      <c r="F79" s="137"/>
      <c r="G79" s="137"/>
      <c r="H79" s="137"/>
      <c r="I79" s="137"/>
      <c r="J79" s="137"/>
      <c r="K79" s="137"/>
      <c r="L79" s="137"/>
      <c r="M79" s="137"/>
      <c r="N79" s="137"/>
      <c r="O79" s="137"/>
      <c r="P79" s="137"/>
      <c r="Q79" s="137"/>
      <c r="R79" s="137"/>
      <c r="S79" s="137"/>
      <c r="T79" s="137"/>
      <c r="U79" s="137"/>
      <c r="V79" s="137"/>
      <c r="W79" s="137"/>
    </row>
    <row r="80" spans="1:23" x14ac:dyDescent="0.2">
      <c r="A80" s="137"/>
      <c r="B80" s="137"/>
      <c r="C80" s="137"/>
      <c r="D80" s="137"/>
      <c r="E80" s="137"/>
      <c r="F80" s="137"/>
      <c r="G80" s="137"/>
      <c r="H80" s="137"/>
      <c r="I80" s="137"/>
      <c r="J80" s="137"/>
      <c r="K80" s="137"/>
      <c r="L80" s="137"/>
      <c r="M80" s="137"/>
      <c r="N80" s="137"/>
      <c r="O80" s="137"/>
      <c r="P80" s="137"/>
      <c r="Q80" s="137"/>
      <c r="R80" s="137"/>
      <c r="S80" s="137"/>
      <c r="T80" s="137"/>
      <c r="U80" s="137"/>
      <c r="V80" s="137"/>
      <c r="W80" s="137"/>
    </row>
    <row r="81" spans="1:23" x14ac:dyDescent="0.2">
      <c r="A81" s="137"/>
      <c r="B81" s="137"/>
      <c r="C81" s="137"/>
      <c r="D81" s="137"/>
      <c r="E81" s="137"/>
      <c r="F81" s="137"/>
      <c r="G81" s="137"/>
      <c r="H81" s="137"/>
      <c r="I81" s="137"/>
      <c r="J81" s="137"/>
      <c r="K81" s="137"/>
      <c r="L81" s="137"/>
      <c r="M81" s="137"/>
      <c r="N81" s="137"/>
      <c r="O81" s="137"/>
      <c r="P81" s="137"/>
      <c r="Q81" s="137"/>
      <c r="R81" s="137"/>
      <c r="S81" s="137"/>
      <c r="T81" s="137"/>
      <c r="U81" s="137"/>
      <c r="V81" s="137"/>
      <c r="W81" s="137"/>
    </row>
    <row r="82" spans="1:23" x14ac:dyDescent="0.2">
      <c r="A82" s="137"/>
      <c r="B82" s="137"/>
      <c r="C82" s="137"/>
      <c r="D82" s="137"/>
      <c r="E82" s="137"/>
      <c r="F82" s="137"/>
      <c r="G82" s="137"/>
      <c r="H82" s="137"/>
      <c r="I82" s="137"/>
      <c r="J82" s="137"/>
      <c r="K82" s="137"/>
      <c r="L82" s="137"/>
      <c r="M82" s="137"/>
      <c r="N82" s="137"/>
      <c r="O82" s="137"/>
      <c r="P82" s="137"/>
      <c r="Q82" s="137"/>
      <c r="R82" s="137"/>
      <c r="S82" s="137"/>
      <c r="T82" s="137"/>
      <c r="U82" s="137"/>
      <c r="V82" s="137"/>
      <c r="W82" s="137"/>
    </row>
    <row r="83" spans="1:23" x14ac:dyDescent="0.2">
      <c r="A83" s="137"/>
      <c r="B83" s="137"/>
      <c r="C83" s="137"/>
      <c r="D83" s="137"/>
      <c r="E83" s="137"/>
      <c r="F83" s="137"/>
      <c r="G83" s="137"/>
      <c r="H83" s="137"/>
      <c r="I83" s="137"/>
      <c r="J83" s="137"/>
      <c r="K83" s="137"/>
      <c r="L83" s="137"/>
      <c r="M83" s="137"/>
      <c r="N83" s="137"/>
      <c r="O83" s="137"/>
      <c r="P83" s="137"/>
      <c r="Q83" s="137"/>
      <c r="R83" s="137"/>
      <c r="S83" s="137"/>
      <c r="T83" s="137"/>
      <c r="U83" s="137"/>
      <c r="V83" s="137"/>
      <c r="W83" s="137"/>
    </row>
    <row r="84" spans="1:23" x14ac:dyDescent="0.2">
      <c r="A84" s="137"/>
      <c r="B84" s="137"/>
      <c r="C84" s="137"/>
      <c r="D84" s="137"/>
      <c r="E84" s="137"/>
      <c r="F84" s="137"/>
      <c r="G84" s="137"/>
      <c r="H84" s="137"/>
      <c r="I84" s="137"/>
      <c r="J84" s="137"/>
      <c r="K84" s="137"/>
      <c r="L84" s="137"/>
      <c r="M84" s="137"/>
      <c r="N84" s="137"/>
      <c r="O84" s="137"/>
      <c r="P84" s="137"/>
      <c r="Q84" s="137"/>
      <c r="R84" s="137"/>
      <c r="S84" s="137"/>
      <c r="T84" s="137"/>
      <c r="U84" s="137"/>
      <c r="V84" s="137"/>
      <c r="W84" s="137"/>
    </row>
    <row r="85" spans="1:23" x14ac:dyDescent="0.2">
      <c r="A85" s="137"/>
      <c r="B85" s="137"/>
      <c r="C85" s="137"/>
      <c r="D85" s="137"/>
      <c r="E85" s="137"/>
      <c r="F85" s="137"/>
      <c r="G85" s="137"/>
      <c r="H85" s="137"/>
      <c r="I85" s="137"/>
      <c r="J85" s="137"/>
      <c r="K85" s="137"/>
      <c r="L85" s="137"/>
      <c r="M85" s="137"/>
      <c r="N85" s="137"/>
      <c r="O85" s="137"/>
      <c r="P85" s="137"/>
      <c r="Q85" s="137"/>
      <c r="R85" s="137"/>
      <c r="S85" s="137"/>
      <c r="T85" s="137"/>
      <c r="U85" s="137"/>
      <c r="V85" s="137"/>
      <c r="W85" s="137"/>
    </row>
    <row r="86" spans="1:23" x14ac:dyDescent="0.2">
      <c r="A86" s="137"/>
      <c r="B86" s="137"/>
      <c r="C86" s="137"/>
      <c r="D86" s="137"/>
      <c r="E86" s="137"/>
      <c r="F86" s="137"/>
      <c r="G86" s="137"/>
      <c r="H86" s="137"/>
      <c r="I86" s="137"/>
      <c r="J86" s="137"/>
      <c r="K86" s="137"/>
      <c r="L86" s="137"/>
      <c r="M86" s="137"/>
      <c r="N86" s="137"/>
      <c r="O86" s="137"/>
      <c r="P86" s="137"/>
      <c r="Q86" s="137"/>
      <c r="R86" s="137"/>
      <c r="S86" s="137"/>
      <c r="T86" s="137"/>
      <c r="U86" s="137"/>
      <c r="V86" s="137"/>
      <c r="W86" s="137"/>
    </row>
    <row r="87" spans="1:23" x14ac:dyDescent="0.2">
      <c r="A87" s="137"/>
      <c r="B87" s="137"/>
      <c r="C87" s="137"/>
      <c r="D87" s="137"/>
      <c r="E87" s="137"/>
      <c r="F87" s="137"/>
      <c r="G87" s="137"/>
      <c r="H87" s="137"/>
      <c r="I87" s="137"/>
      <c r="J87" s="137"/>
      <c r="K87" s="137"/>
      <c r="L87" s="137"/>
      <c r="M87" s="137"/>
      <c r="N87" s="137"/>
      <c r="O87" s="137"/>
      <c r="P87" s="137"/>
      <c r="Q87" s="137"/>
      <c r="R87" s="137"/>
      <c r="S87" s="137"/>
      <c r="T87" s="137"/>
      <c r="U87" s="137"/>
      <c r="V87" s="137"/>
      <c r="W87" s="137"/>
    </row>
    <row r="88" spans="1:23" x14ac:dyDescent="0.2">
      <c r="A88" s="137"/>
      <c r="B88" s="137"/>
      <c r="C88" s="137"/>
      <c r="D88" s="137"/>
      <c r="E88" s="137"/>
      <c r="F88" s="137"/>
      <c r="G88" s="137"/>
      <c r="H88" s="137"/>
      <c r="I88" s="137"/>
      <c r="J88" s="137"/>
      <c r="K88" s="137"/>
      <c r="L88" s="137"/>
      <c r="M88" s="137"/>
      <c r="N88" s="137"/>
      <c r="O88" s="137"/>
      <c r="P88" s="137"/>
      <c r="Q88" s="137"/>
      <c r="R88" s="137"/>
      <c r="S88" s="137"/>
      <c r="T88" s="137"/>
      <c r="U88" s="137"/>
      <c r="V88" s="137"/>
      <c r="W88" s="137"/>
    </row>
    <row r="89" spans="1:23" x14ac:dyDescent="0.2">
      <c r="A89" s="137"/>
      <c r="B89" s="137"/>
      <c r="C89" s="137"/>
      <c r="D89" s="137"/>
      <c r="E89" s="137"/>
      <c r="F89" s="137"/>
      <c r="G89" s="137"/>
      <c r="H89" s="137"/>
      <c r="I89" s="137"/>
      <c r="J89" s="137"/>
      <c r="K89" s="137"/>
      <c r="L89" s="137"/>
      <c r="M89" s="137"/>
      <c r="N89" s="137"/>
      <c r="O89" s="137"/>
      <c r="P89" s="137"/>
      <c r="Q89" s="137"/>
      <c r="R89" s="137"/>
      <c r="S89" s="137"/>
      <c r="T89" s="137"/>
      <c r="U89" s="137"/>
      <c r="V89" s="137"/>
      <c r="W89" s="137"/>
    </row>
    <row r="90" spans="1:23" x14ac:dyDescent="0.2">
      <c r="A90" s="137"/>
      <c r="B90" s="137"/>
      <c r="C90" s="137"/>
      <c r="D90" s="137"/>
      <c r="E90" s="137"/>
      <c r="F90" s="137"/>
      <c r="G90" s="137"/>
      <c r="H90" s="137"/>
      <c r="I90" s="137"/>
      <c r="J90" s="137"/>
      <c r="K90" s="137"/>
      <c r="L90" s="137"/>
      <c r="M90" s="137"/>
      <c r="N90" s="137"/>
      <c r="O90" s="137"/>
      <c r="P90" s="137"/>
      <c r="Q90" s="137"/>
      <c r="R90" s="137"/>
      <c r="S90" s="137"/>
      <c r="T90" s="137"/>
      <c r="U90" s="137"/>
      <c r="V90" s="137"/>
      <c r="W90" s="137"/>
    </row>
    <row r="91" spans="1:23" x14ac:dyDescent="0.2">
      <c r="A91" s="137"/>
      <c r="B91" s="137"/>
      <c r="C91" s="137"/>
      <c r="D91" s="137"/>
      <c r="E91" s="137"/>
      <c r="F91" s="137"/>
      <c r="G91" s="137"/>
      <c r="H91" s="137"/>
      <c r="I91" s="137"/>
      <c r="J91" s="137"/>
      <c r="K91" s="137"/>
      <c r="L91" s="137"/>
      <c r="M91" s="137"/>
      <c r="N91" s="137"/>
      <c r="O91" s="137"/>
      <c r="P91" s="137"/>
      <c r="Q91" s="137"/>
      <c r="R91" s="137"/>
      <c r="S91" s="137"/>
      <c r="T91" s="137"/>
      <c r="U91" s="137"/>
      <c r="V91" s="137"/>
      <c r="W91" s="137"/>
    </row>
    <row r="92" spans="1:23" x14ac:dyDescent="0.2">
      <c r="A92" s="137"/>
      <c r="B92" s="137"/>
      <c r="C92" s="137"/>
      <c r="D92" s="137"/>
      <c r="E92" s="137"/>
      <c r="F92" s="137"/>
      <c r="G92" s="137"/>
      <c r="H92" s="137"/>
      <c r="I92" s="137"/>
      <c r="J92" s="137"/>
      <c r="K92" s="137"/>
      <c r="L92" s="137"/>
      <c r="M92" s="137"/>
      <c r="N92" s="137"/>
      <c r="O92" s="137"/>
      <c r="P92" s="137"/>
      <c r="Q92" s="137"/>
      <c r="R92" s="137"/>
      <c r="S92" s="137"/>
      <c r="T92" s="137"/>
      <c r="U92" s="137"/>
      <c r="V92" s="137"/>
      <c r="W92" s="137"/>
    </row>
    <row r="93" spans="1:23" x14ac:dyDescent="0.2">
      <c r="A93" s="137"/>
      <c r="B93" s="137"/>
      <c r="C93" s="137"/>
      <c r="D93" s="137"/>
      <c r="E93" s="137"/>
      <c r="F93" s="137"/>
      <c r="G93" s="137"/>
      <c r="H93" s="137"/>
      <c r="I93" s="137"/>
      <c r="J93" s="137"/>
      <c r="K93" s="137"/>
      <c r="L93" s="137"/>
      <c r="M93" s="137"/>
      <c r="N93" s="137"/>
      <c r="O93" s="137"/>
      <c r="P93" s="137"/>
      <c r="Q93" s="137"/>
      <c r="R93" s="137"/>
      <c r="S93" s="137"/>
      <c r="T93" s="137"/>
      <c r="U93" s="137"/>
      <c r="V93" s="137"/>
      <c r="W93" s="137"/>
    </row>
    <row r="94" spans="1:23" x14ac:dyDescent="0.2">
      <c r="A94" s="137"/>
      <c r="B94" s="137"/>
      <c r="C94" s="137"/>
      <c r="D94" s="137"/>
      <c r="E94" s="137"/>
      <c r="F94" s="137"/>
      <c r="G94" s="137"/>
      <c r="H94" s="137"/>
      <c r="I94" s="137"/>
      <c r="J94" s="137"/>
      <c r="K94" s="137"/>
      <c r="L94" s="137"/>
      <c r="M94" s="137"/>
      <c r="N94" s="137"/>
      <c r="O94" s="137"/>
      <c r="P94" s="137"/>
      <c r="Q94" s="137"/>
      <c r="R94" s="137"/>
      <c r="S94" s="137"/>
      <c r="T94" s="137"/>
      <c r="U94" s="137"/>
      <c r="V94" s="137"/>
      <c r="W94" s="137"/>
    </row>
    <row r="95" spans="1:23" x14ac:dyDescent="0.2">
      <c r="A95" s="137"/>
      <c r="B95" s="137"/>
      <c r="C95" s="137"/>
      <c r="D95" s="137"/>
      <c r="E95" s="137"/>
      <c r="F95" s="137"/>
      <c r="G95" s="137"/>
      <c r="H95" s="137"/>
      <c r="I95" s="137"/>
      <c r="J95" s="137"/>
      <c r="K95" s="137"/>
      <c r="L95" s="137"/>
      <c r="M95" s="137"/>
      <c r="N95" s="137"/>
      <c r="O95" s="137"/>
      <c r="P95" s="137"/>
      <c r="Q95" s="137"/>
      <c r="R95" s="137"/>
      <c r="S95" s="137"/>
      <c r="T95" s="137"/>
      <c r="U95" s="137"/>
      <c r="V95" s="137"/>
      <c r="W95" s="137"/>
    </row>
    <row r="96" spans="1:23" x14ac:dyDescent="0.2">
      <c r="A96" s="137"/>
      <c r="B96" s="137"/>
      <c r="C96" s="137"/>
      <c r="D96" s="137"/>
      <c r="E96" s="137"/>
      <c r="F96" s="137"/>
      <c r="G96" s="137"/>
      <c r="H96" s="137"/>
      <c r="I96" s="137"/>
      <c r="J96" s="137"/>
      <c r="K96" s="137"/>
      <c r="L96" s="137"/>
      <c r="M96" s="137"/>
      <c r="N96" s="137"/>
      <c r="O96" s="137"/>
      <c r="P96" s="137"/>
      <c r="Q96" s="137"/>
      <c r="R96" s="137"/>
      <c r="S96" s="137"/>
      <c r="T96" s="137"/>
      <c r="U96" s="137"/>
      <c r="V96" s="137"/>
      <c r="W96" s="137"/>
    </row>
    <row r="97" spans="1:23" x14ac:dyDescent="0.2">
      <c r="A97" s="137"/>
      <c r="B97" s="137"/>
      <c r="C97" s="137"/>
      <c r="D97" s="137"/>
      <c r="E97" s="137"/>
      <c r="F97" s="137"/>
      <c r="G97" s="137"/>
      <c r="H97" s="137"/>
      <c r="I97" s="137"/>
      <c r="J97" s="137"/>
      <c r="K97" s="137"/>
      <c r="L97" s="137"/>
      <c r="M97" s="137"/>
      <c r="N97" s="137"/>
      <c r="O97" s="137"/>
      <c r="P97" s="137"/>
      <c r="Q97" s="137"/>
      <c r="R97" s="137"/>
      <c r="S97" s="137"/>
      <c r="T97" s="137"/>
      <c r="U97" s="137"/>
      <c r="V97" s="137"/>
      <c r="W97" s="137"/>
    </row>
    <row r="98" spans="1:23" x14ac:dyDescent="0.2">
      <c r="A98" s="137"/>
      <c r="B98" s="137"/>
      <c r="C98" s="137"/>
      <c r="D98" s="137"/>
      <c r="E98" s="137"/>
      <c r="F98" s="137"/>
      <c r="G98" s="137"/>
      <c r="H98" s="137"/>
      <c r="I98" s="137"/>
      <c r="J98" s="137"/>
      <c r="K98" s="137"/>
      <c r="L98" s="137"/>
      <c r="M98" s="137"/>
      <c r="N98" s="137"/>
      <c r="O98" s="137"/>
      <c r="P98" s="137"/>
      <c r="Q98" s="137"/>
      <c r="R98" s="137"/>
      <c r="S98" s="137"/>
      <c r="T98" s="137"/>
      <c r="U98" s="137"/>
      <c r="V98" s="137"/>
      <c r="W98" s="137"/>
    </row>
    <row r="99" spans="1:23" x14ac:dyDescent="0.2">
      <c r="A99" s="137"/>
      <c r="B99" s="137"/>
      <c r="C99" s="137"/>
      <c r="D99" s="137"/>
      <c r="E99" s="137"/>
      <c r="F99" s="137"/>
      <c r="G99" s="137"/>
      <c r="H99" s="137"/>
      <c r="I99" s="137"/>
      <c r="J99" s="137"/>
      <c r="K99" s="137"/>
      <c r="L99" s="137"/>
      <c r="M99" s="137"/>
      <c r="N99" s="137"/>
      <c r="O99" s="137"/>
      <c r="P99" s="137"/>
      <c r="Q99" s="137"/>
      <c r="R99" s="137"/>
      <c r="S99" s="137"/>
      <c r="T99" s="137"/>
      <c r="U99" s="137"/>
      <c r="V99" s="137"/>
      <c r="W99" s="137"/>
    </row>
    <row r="100" spans="1:23" x14ac:dyDescent="0.2">
      <c r="A100" s="137"/>
      <c r="B100" s="137"/>
      <c r="C100" s="137"/>
      <c r="D100" s="137"/>
      <c r="E100" s="137"/>
      <c r="F100" s="137"/>
      <c r="G100" s="137"/>
      <c r="H100" s="137"/>
      <c r="I100" s="137"/>
      <c r="J100" s="137"/>
      <c r="K100" s="137"/>
      <c r="L100" s="137"/>
      <c r="M100" s="137"/>
      <c r="N100" s="137"/>
      <c r="O100" s="137"/>
      <c r="P100" s="137"/>
      <c r="Q100" s="137"/>
      <c r="R100" s="137"/>
      <c r="S100" s="137"/>
      <c r="T100" s="137"/>
      <c r="U100" s="137"/>
      <c r="V100" s="137"/>
      <c r="W100" s="137"/>
    </row>
    <row r="101" spans="1:23" x14ac:dyDescent="0.2">
      <c r="A101" s="137"/>
      <c r="B101" s="137"/>
      <c r="C101" s="137"/>
      <c r="D101" s="137"/>
      <c r="E101" s="137"/>
      <c r="F101" s="137"/>
      <c r="G101" s="137"/>
      <c r="H101" s="137"/>
      <c r="I101" s="137"/>
      <c r="J101" s="137"/>
      <c r="K101" s="137"/>
      <c r="L101" s="137"/>
      <c r="M101" s="137"/>
      <c r="N101" s="137"/>
      <c r="O101" s="137"/>
      <c r="P101" s="137"/>
      <c r="Q101" s="137"/>
      <c r="R101" s="137"/>
      <c r="S101" s="137"/>
      <c r="T101" s="137"/>
      <c r="U101" s="137"/>
      <c r="V101" s="137"/>
      <c r="W101" s="137"/>
    </row>
    <row r="102" spans="1:23" x14ac:dyDescent="0.2">
      <c r="A102" s="137"/>
      <c r="B102" s="137"/>
      <c r="C102" s="137"/>
      <c r="D102" s="137"/>
      <c r="E102" s="137"/>
      <c r="F102" s="137"/>
      <c r="G102" s="137"/>
      <c r="H102" s="137"/>
      <c r="I102" s="137"/>
      <c r="J102" s="137"/>
      <c r="K102" s="137"/>
      <c r="L102" s="137"/>
      <c r="M102" s="137"/>
      <c r="N102" s="137"/>
      <c r="O102" s="137"/>
      <c r="P102" s="137"/>
      <c r="Q102" s="137"/>
      <c r="R102" s="137"/>
      <c r="S102" s="137"/>
      <c r="T102" s="137"/>
      <c r="U102" s="137"/>
      <c r="V102" s="137"/>
      <c r="W102" s="137"/>
    </row>
    <row r="103" spans="1:23" x14ac:dyDescent="0.2">
      <c r="A103" s="137"/>
      <c r="B103" s="137"/>
      <c r="C103" s="137"/>
      <c r="D103" s="137"/>
      <c r="E103" s="137"/>
      <c r="F103" s="137"/>
      <c r="G103" s="137"/>
      <c r="H103" s="137"/>
      <c r="I103" s="137"/>
      <c r="J103" s="137"/>
      <c r="K103" s="137"/>
      <c r="L103" s="137"/>
      <c r="M103" s="137"/>
      <c r="N103" s="137"/>
      <c r="O103" s="137"/>
      <c r="P103" s="137"/>
      <c r="Q103" s="137"/>
      <c r="R103" s="137"/>
      <c r="S103" s="137"/>
      <c r="T103" s="137"/>
      <c r="U103" s="137"/>
      <c r="V103" s="137"/>
      <c r="W103" s="137"/>
    </row>
    <row r="104" spans="1:23" x14ac:dyDescent="0.2">
      <c r="A104" s="137"/>
      <c r="B104" s="137"/>
      <c r="C104" s="137"/>
      <c r="D104" s="137"/>
      <c r="E104" s="137"/>
      <c r="F104" s="137"/>
      <c r="G104" s="137"/>
      <c r="H104" s="137"/>
      <c r="I104" s="137"/>
      <c r="J104" s="137"/>
      <c r="K104" s="137"/>
      <c r="L104" s="137"/>
      <c r="M104" s="137"/>
      <c r="N104" s="137"/>
      <c r="O104" s="137"/>
      <c r="P104" s="137"/>
      <c r="Q104" s="137"/>
      <c r="R104" s="137"/>
      <c r="S104" s="137"/>
      <c r="T104" s="137"/>
      <c r="U104" s="137"/>
      <c r="V104" s="137"/>
      <c r="W104" s="137"/>
    </row>
    <row r="105" spans="1:23" x14ac:dyDescent="0.2">
      <c r="A105" s="137"/>
      <c r="B105" s="137"/>
      <c r="C105" s="137"/>
      <c r="D105" s="137"/>
      <c r="E105" s="137"/>
      <c r="F105" s="137"/>
      <c r="G105" s="137"/>
      <c r="H105" s="137"/>
      <c r="I105" s="137"/>
      <c r="J105" s="137"/>
      <c r="K105" s="137"/>
      <c r="L105" s="137"/>
      <c r="M105" s="137"/>
      <c r="N105" s="137"/>
      <c r="O105" s="137"/>
      <c r="P105" s="137"/>
      <c r="Q105" s="137"/>
      <c r="R105" s="137"/>
      <c r="S105" s="137"/>
      <c r="T105" s="137"/>
      <c r="U105" s="137"/>
      <c r="V105" s="137"/>
      <c r="W105" s="137"/>
    </row>
    <row r="106" spans="1:23" x14ac:dyDescent="0.2">
      <c r="A106" s="137"/>
      <c r="B106" s="137"/>
      <c r="C106" s="137"/>
      <c r="D106" s="137"/>
      <c r="E106" s="137"/>
      <c r="F106" s="137"/>
      <c r="G106" s="137"/>
      <c r="H106" s="137"/>
      <c r="I106" s="137"/>
      <c r="J106" s="137"/>
      <c r="K106" s="137"/>
      <c r="L106" s="137"/>
      <c r="M106" s="137"/>
      <c r="N106" s="137"/>
      <c r="O106" s="137"/>
      <c r="P106" s="137"/>
      <c r="Q106" s="137"/>
      <c r="R106" s="137"/>
      <c r="S106" s="137"/>
      <c r="T106" s="137"/>
      <c r="U106" s="137"/>
      <c r="V106" s="137"/>
      <c r="W106" s="137"/>
    </row>
    <row r="107" spans="1:23" x14ac:dyDescent="0.2">
      <c r="A107" s="137"/>
      <c r="B107" s="137"/>
      <c r="C107" s="137"/>
      <c r="D107" s="137"/>
      <c r="E107" s="137"/>
      <c r="F107" s="137"/>
      <c r="G107" s="137"/>
      <c r="H107" s="137"/>
      <c r="I107" s="137"/>
      <c r="J107" s="137"/>
      <c r="K107" s="137"/>
      <c r="L107" s="137"/>
      <c r="M107" s="137"/>
      <c r="N107" s="137"/>
      <c r="O107" s="137"/>
      <c r="P107" s="137"/>
      <c r="Q107" s="137"/>
      <c r="R107" s="137"/>
      <c r="S107" s="137"/>
      <c r="T107" s="137"/>
      <c r="U107" s="137"/>
      <c r="V107" s="137"/>
      <c r="W107" s="137"/>
    </row>
    <row r="108" spans="1:23" x14ac:dyDescent="0.2">
      <c r="A108" s="137"/>
      <c r="B108" s="137"/>
      <c r="C108" s="137"/>
      <c r="D108" s="137"/>
      <c r="E108" s="137"/>
      <c r="F108" s="137"/>
      <c r="G108" s="137"/>
      <c r="H108" s="137"/>
      <c r="I108" s="137"/>
      <c r="J108" s="137"/>
      <c r="K108" s="137"/>
      <c r="L108" s="137"/>
      <c r="M108" s="137"/>
      <c r="N108" s="137"/>
      <c r="O108" s="137"/>
      <c r="P108" s="137"/>
      <c r="Q108" s="137"/>
      <c r="R108" s="137"/>
      <c r="S108" s="137"/>
      <c r="T108" s="137"/>
      <c r="U108" s="137"/>
      <c r="V108" s="137"/>
      <c r="W108" s="137"/>
    </row>
    <row r="109" spans="1:23" x14ac:dyDescent="0.2">
      <c r="A109" s="137"/>
      <c r="B109" s="137"/>
      <c r="C109" s="137"/>
      <c r="D109" s="137"/>
      <c r="E109" s="137"/>
      <c r="F109" s="137"/>
      <c r="G109" s="137"/>
      <c r="H109" s="137"/>
      <c r="I109" s="137"/>
      <c r="J109" s="137"/>
      <c r="K109" s="137"/>
      <c r="L109" s="137"/>
      <c r="M109" s="137"/>
      <c r="N109" s="137"/>
      <c r="O109" s="137"/>
      <c r="P109" s="137"/>
      <c r="Q109" s="137"/>
      <c r="R109" s="137"/>
      <c r="S109" s="137"/>
      <c r="T109" s="137"/>
      <c r="U109" s="137"/>
      <c r="V109" s="137"/>
      <c r="W109" s="137"/>
    </row>
    <row r="110" spans="1:23" x14ac:dyDescent="0.2">
      <c r="A110" s="137"/>
      <c r="B110" s="137"/>
      <c r="C110" s="137"/>
      <c r="D110" s="137"/>
      <c r="E110" s="137"/>
      <c r="F110" s="137"/>
      <c r="G110" s="137"/>
      <c r="H110" s="137"/>
      <c r="I110" s="137"/>
      <c r="J110" s="137"/>
      <c r="K110" s="137"/>
      <c r="L110" s="137"/>
      <c r="M110" s="137"/>
      <c r="N110" s="137"/>
      <c r="O110" s="137"/>
      <c r="P110" s="137"/>
      <c r="Q110" s="137"/>
      <c r="R110" s="137"/>
      <c r="S110" s="137"/>
      <c r="T110" s="137"/>
      <c r="U110" s="137"/>
      <c r="V110" s="137"/>
      <c r="W110" s="137"/>
    </row>
    <row r="111" spans="1:23" x14ac:dyDescent="0.2">
      <c r="A111" s="137"/>
      <c r="B111" s="137"/>
      <c r="C111" s="137"/>
      <c r="D111" s="137"/>
      <c r="E111" s="137"/>
      <c r="F111" s="137"/>
      <c r="G111" s="137"/>
      <c r="H111" s="137"/>
      <c r="I111" s="137"/>
      <c r="J111" s="137"/>
      <c r="K111" s="137"/>
      <c r="L111" s="137"/>
      <c r="M111" s="137"/>
      <c r="N111" s="137"/>
      <c r="O111" s="137"/>
      <c r="P111" s="137"/>
      <c r="Q111" s="137"/>
      <c r="R111" s="137"/>
      <c r="S111" s="137"/>
      <c r="T111" s="137"/>
      <c r="U111" s="137"/>
      <c r="V111" s="137"/>
      <c r="W111" s="137"/>
    </row>
    <row r="112" spans="1:23" x14ac:dyDescent="0.2">
      <c r="A112" s="137"/>
      <c r="B112" s="137"/>
      <c r="C112" s="137"/>
      <c r="D112" s="137"/>
      <c r="E112" s="137"/>
      <c r="F112" s="137"/>
      <c r="G112" s="137"/>
      <c r="H112" s="137"/>
      <c r="I112" s="137"/>
      <c r="J112" s="137"/>
      <c r="K112" s="137"/>
      <c r="L112" s="137"/>
      <c r="M112" s="137"/>
      <c r="N112" s="137"/>
      <c r="O112" s="137"/>
      <c r="P112" s="137"/>
      <c r="Q112" s="137"/>
      <c r="R112" s="137"/>
      <c r="S112" s="137"/>
      <c r="T112" s="137"/>
      <c r="U112" s="137"/>
      <c r="V112" s="137"/>
      <c r="W112" s="137"/>
    </row>
    <row r="113" spans="1:23" x14ac:dyDescent="0.2">
      <c r="A113" s="137"/>
      <c r="B113" s="137"/>
      <c r="C113" s="137"/>
      <c r="D113" s="137"/>
      <c r="E113" s="137"/>
      <c r="F113" s="137"/>
      <c r="G113" s="137"/>
      <c r="H113" s="137"/>
      <c r="I113" s="137"/>
      <c r="J113" s="137"/>
      <c r="K113" s="137"/>
      <c r="L113" s="137"/>
      <c r="M113" s="137"/>
      <c r="N113" s="137"/>
      <c r="O113" s="137"/>
      <c r="P113" s="137"/>
      <c r="Q113" s="137"/>
      <c r="R113" s="137"/>
      <c r="S113" s="137"/>
      <c r="T113" s="137"/>
      <c r="U113" s="137"/>
      <c r="V113" s="137"/>
      <c r="W113" s="137"/>
    </row>
    <row r="114" spans="1:23" x14ac:dyDescent="0.2">
      <c r="A114" s="137"/>
      <c r="B114" s="137"/>
      <c r="C114" s="137"/>
      <c r="D114" s="137"/>
      <c r="E114" s="137"/>
      <c r="F114" s="137"/>
      <c r="G114" s="137"/>
      <c r="H114" s="137"/>
      <c r="I114" s="137"/>
      <c r="J114" s="137"/>
      <c r="K114" s="137"/>
      <c r="L114" s="137"/>
      <c r="M114" s="137"/>
      <c r="N114" s="137"/>
      <c r="O114" s="137"/>
      <c r="P114" s="137"/>
      <c r="Q114" s="137"/>
      <c r="R114" s="137"/>
      <c r="S114" s="137"/>
      <c r="T114" s="137"/>
      <c r="U114" s="137"/>
      <c r="V114" s="137"/>
      <c r="W114" s="137"/>
    </row>
    <row r="115" spans="1:23" x14ac:dyDescent="0.2">
      <c r="A115" s="137"/>
      <c r="B115" s="137"/>
      <c r="C115" s="137"/>
      <c r="D115" s="137"/>
      <c r="E115" s="137"/>
      <c r="F115" s="137"/>
      <c r="G115" s="137"/>
      <c r="H115" s="137"/>
      <c r="I115" s="137"/>
      <c r="J115" s="137"/>
      <c r="K115" s="137"/>
      <c r="L115" s="137"/>
      <c r="M115" s="137"/>
      <c r="N115" s="137"/>
      <c r="O115" s="137"/>
      <c r="P115" s="137"/>
      <c r="Q115" s="137"/>
      <c r="R115" s="137"/>
      <c r="S115" s="137"/>
      <c r="T115" s="137"/>
      <c r="U115" s="137"/>
      <c r="V115" s="137"/>
      <c r="W115" s="137"/>
    </row>
    <row r="116" spans="1:23" x14ac:dyDescent="0.2">
      <c r="A116" s="137"/>
      <c r="B116" s="137"/>
      <c r="C116" s="137"/>
      <c r="D116" s="137"/>
      <c r="E116" s="137"/>
      <c r="F116" s="137"/>
      <c r="G116" s="137"/>
      <c r="H116" s="137"/>
      <c r="I116" s="137"/>
      <c r="J116" s="137"/>
      <c r="K116" s="137"/>
      <c r="L116" s="137"/>
      <c r="M116" s="137"/>
      <c r="N116" s="137"/>
      <c r="O116" s="137"/>
      <c r="P116" s="137"/>
      <c r="Q116" s="137"/>
      <c r="R116" s="137"/>
      <c r="S116" s="137"/>
      <c r="T116" s="137"/>
      <c r="U116" s="137"/>
      <c r="V116" s="137"/>
      <c r="W116" s="137"/>
    </row>
    <row r="117" spans="1:23" x14ac:dyDescent="0.2">
      <c r="A117" s="137"/>
      <c r="B117" s="137"/>
      <c r="C117" s="137"/>
      <c r="D117" s="137"/>
      <c r="E117" s="137"/>
      <c r="F117" s="137"/>
      <c r="G117" s="137"/>
      <c r="H117" s="137"/>
      <c r="I117" s="137"/>
      <c r="J117" s="137"/>
      <c r="K117" s="137"/>
      <c r="L117" s="137"/>
      <c r="M117" s="137"/>
      <c r="N117" s="137"/>
      <c r="O117" s="137"/>
      <c r="P117" s="137"/>
      <c r="Q117" s="137"/>
      <c r="R117" s="137"/>
      <c r="S117" s="137"/>
      <c r="T117" s="137"/>
      <c r="U117" s="137"/>
      <c r="V117" s="137"/>
      <c r="W117" s="137"/>
    </row>
    <row r="118" spans="1:23" x14ac:dyDescent="0.2">
      <c r="A118" s="137"/>
      <c r="B118" s="137"/>
      <c r="C118" s="137"/>
      <c r="D118" s="137"/>
      <c r="E118" s="137"/>
      <c r="F118" s="137"/>
      <c r="G118" s="137"/>
      <c r="H118" s="137"/>
      <c r="I118" s="137"/>
      <c r="J118" s="137"/>
      <c r="K118" s="137"/>
      <c r="L118" s="137"/>
      <c r="M118" s="137"/>
      <c r="N118" s="137"/>
      <c r="O118" s="137"/>
      <c r="P118" s="137"/>
      <c r="Q118" s="137"/>
      <c r="R118" s="137"/>
      <c r="S118" s="137"/>
      <c r="T118" s="137"/>
      <c r="U118" s="137"/>
      <c r="V118" s="137"/>
      <c r="W118" s="137"/>
    </row>
    <row r="119" spans="1:23" x14ac:dyDescent="0.2">
      <c r="A119" s="137"/>
      <c r="B119" s="137"/>
      <c r="C119" s="137"/>
      <c r="D119" s="137"/>
      <c r="E119" s="137"/>
      <c r="F119" s="137"/>
      <c r="G119" s="137"/>
      <c r="H119" s="137"/>
      <c r="I119" s="137"/>
      <c r="J119" s="137"/>
      <c r="K119" s="137"/>
      <c r="L119" s="137"/>
      <c r="M119" s="137"/>
      <c r="N119" s="137"/>
      <c r="O119" s="137"/>
      <c r="P119" s="137"/>
      <c r="Q119" s="137"/>
      <c r="R119" s="137"/>
      <c r="S119" s="137"/>
      <c r="T119" s="137"/>
      <c r="U119" s="137"/>
      <c r="V119" s="137"/>
      <c r="W119" s="137"/>
    </row>
    <row r="120" spans="1:23" x14ac:dyDescent="0.2">
      <c r="A120" s="137"/>
      <c r="B120" s="137"/>
      <c r="C120" s="137"/>
      <c r="D120" s="137"/>
      <c r="E120" s="137"/>
      <c r="F120" s="137"/>
      <c r="G120" s="137"/>
      <c r="H120" s="137"/>
      <c r="I120" s="137"/>
      <c r="J120" s="137"/>
      <c r="K120" s="137"/>
      <c r="L120" s="137"/>
      <c r="M120" s="137"/>
      <c r="N120" s="137"/>
      <c r="O120" s="137"/>
      <c r="P120" s="137"/>
      <c r="Q120" s="137"/>
      <c r="R120" s="137"/>
      <c r="S120" s="137"/>
      <c r="T120" s="137"/>
      <c r="U120" s="137"/>
      <c r="V120" s="137"/>
      <c r="W120" s="137"/>
    </row>
    <row r="121" spans="1:23" x14ac:dyDescent="0.2">
      <c r="A121" s="137"/>
      <c r="B121" s="137"/>
      <c r="C121" s="137"/>
      <c r="D121" s="137"/>
      <c r="E121" s="137"/>
      <c r="F121" s="137"/>
      <c r="G121" s="137"/>
      <c r="H121" s="137"/>
      <c r="I121" s="137"/>
      <c r="J121" s="137"/>
      <c r="K121" s="137"/>
      <c r="L121" s="137"/>
      <c r="M121" s="137"/>
      <c r="N121" s="137"/>
      <c r="O121" s="137"/>
      <c r="P121" s="137"/>
      <c r="Q121" s="137"/>
      <c r="R121" s="137"/>
      <c r="S121" s="137"/>
      <c r="T121" s="137"/>
      <c r="U121" s="137"/>
      <c r="V121" s="137"/>
      <c r="W121" s="137"/>
    </row>
    <row r="122" spans="1:23" x14ac:dyDescent="0.2">
      <c r="A122" s="137"/>
      <c r="B122" s="137"/>
      <c r="C122" s="137"/>
      <c r="D122" s="137"/>
      <c r="E122" s="137"/>
      <c r="F122" s="137"/>
      <c r="G122" s="137"/>
      <c r="H122" s="137"/>
      <c r="I122" s="137"/>
      <c r="J122" s="137"/>
      <c r="K122" s="137"/>
      <c r="L122" s="137"/>
      <c r="M122" s="137"/>
      <c r="N122" s="137"/>
      <c r="O122" s="137"/>
      <c r="P122" s="137"/>
      <c r="Q122" s="137"/>
      <c r="R122" s="137"/>
      <c r="S122" s="137"/>
      <c r="T122" s="137"/>
      <c r="U122" s="137"/>
      <c r="V122" s="137"/>
      <c r="W122" s="137"/>
    </row>
    <row r="123" spans="1:23" x14ac:dyDescent="0.2">
      <c r="A123" s="137"/>
      <c r="B123" s="137"/>
      <c r="C123" s="137"/>
      <c r="D123" s="137"/>
      <c r="E123" s="137"/>
      <c r="F123" s="137"/>
      <c r="G123" s="137"/>
      <c r="H123" s="137"/>
      <c r="I123" s="137"/>
      <c r="J123" s="137"/>
      <c r="K123" s="137"/>
      <c r="L123" s="137"/>
      <c r="M123" s="137"/>
      <c r="N123" s="137"/>
      <c r="O123" s="137"/>
      <c r="P123" s="137"/>
      <c r="Q123" s="137"/>
      <c r="R123" s="137"/>
      <c r="S123" s="137"/>
      <c r="T123" s="137"/>
      <c r="U123" s="137"/>
      <c r="V123" s="137"/>
      <c r="W123" s="137"/>
    </row>
    <row r="124" spans="1:23" x14ac:dyDescent="0.2">
      <c r="A124" s="137"/>
      <c r="B124" s="137"/>
      <c r="C124" s="137"/>
      <c r="D124" s="137"/>
      <c r="E124" s="137"/>
      <c r="F124" s="137"/>
      <c r="G124" s="137"/>
      <c r="H124" s="137"/>
      <c r="I124" s="137"/>
      <c r="J124" s="137"/>
      <c r="K124" s="137"/>
      <c r="L124" s="137"/>
      <c r="M124" s="137"/>
      <c r="N124" s="137"/>
      <c r="O124" s="137"/>
      <c r="P124" s="137"/>
      <c r="Q124" s="137"/>
      <c r="R124" s="137"/>
      <c r="S124" s="137"/>
      <c r="T124" s="137"/>
      <c r="U124" s="137"/>
      <c r="V124" s="137"/>
      <c r="W124" s="137"/>
    </row>
    <row r="125" spans="1:23" x14ac:dyDescent="0.2">
      <c r="A125" s="137"/>
      <c r="B125" s="137"/>
      <c r="C125" s="137"/>
      <c r="D125" s="137"/>
      <c r="E125" s="137"/>
      <c r="F125" s="137"/>
      <c r="G125" s="137"/>
      <c r="H125" s="137"/>
      <c r="I125" s="137"/>
      <c r="J125" s="137"/>
      <c r="K125" s="137"/>
      <c r="L125" s="137"/>
      <c r="M125" s="137"/>
      <c r="N125" s="137"/>
      <c r="O125" s="137"/>
      <c r="P125" s="137"/>
      <c r="Q125" s="137"/>
      <c r="R125" s="137"/>
      <c r="S125" s="137"/>
      <c r="T125" s="137"/>
      <c r="U125" s="137"/>
      <c r="V125" s="137"/>
      <c r="W125" s="137"/>
    </row>
    <row r="126" spans="1:23" x14ac:dyDescent="0.2">
      <c r="A126" s="137"/>
      <c r="B126" s="137"/>
      <c r="C126" s="137"/>
      <c r="D126" s="137"/>
      <c r="E126" s="137"/>
      <c r="F126" s="137"/>
      <c r="G126" s="137"/>
      <c r="H126" s="137"/>
      <c r="I126" s="137"/>
      <c r="J126" s="137"/>
      <c r="K126" s="137"/>
      <c r="L126" s="137"/>
      <c r="M126" s="137"/>
      <c r="N126" s="137"/>
      <c r="O126" s="137"/>
      <c r="P126" s="137"/>
      <c r="Q126" s="137"/>
      <c r="R126" s="137"/>
      <c r="S126" s="137"/>
      <c r="T126" s="137"/>
      <c r="U126" s="137"/>
      <c r="V126" s="137"/>
      <c r="W126" s="137"/>
    </row>
    <row r="127" spans="1:23" x14ac:dyDescent="0.2">
      <c r="A127" s="137"/>
      <c r="B127" s="137"/>
      <c r="C127" s="137"/>
      <c r="D127" s="137"/>
      <c r="E127" s="137"/>
      <c r="F127" s="137"/>
      <c r="G127" s="137"/>
      <c r="H127" s="137"/>
      <c r="I127" s="137"/>
      <c r="J127" s="137"/>
      <c r="K127" s="137"/>
      <c r="L127" s="137"/>
      <c r="M127" s="137"/>
      <c r="N127" s="137"/>
      <c r="O127" s="137"/>
      <c r="P127" s="137"/>
      <c r="Q127" s="137"/>
      <c r="R127" s="137"/>
      <c r="S127" s="137"/>
      <c r="T127" s="137"/>
      <c r="U127" s="137"/>
      <c r="V127" s="137"/>
      <c r="W127" s="137"/>
    </row>
    <row r="128" spans="1:23" x14ac:dyDescent="0.2">
      <c r="A128" s="137"/>
      <c r="B128" s="137"/>
      <c r="C128" s="137"/>
      <c r="D128" s="137"/>
      <c r="E128" s="137"/>
      <c r="F128" s="137"/>
      <c r="G128" s="137"/>
      <c r="H128" s="137"/>
      <c r="I128" s="137"/>
      <c r="J128" s="137"/>
      <c r="K128" s="137"/>
      <c r="L128" s="137"/>
      <c r="M128" s="137"/>
      <c r="N128" s="137"/>
      <c r="O128" s="137"/>
      <c r="P128" s="137"/>
      <c r="Q128" s="137"/>
      <c r="R128" s="137"/>
      <c r="S128" s="137"/>
      <c r="T128" s="137"/>
      <c r="U128" s="137"/>
      <c r="V128" s="137"/>
      <c r="W128" s="137"/>
    </row>
    <row r="129" spans="1:23" x14ac:dyDescent="0.2">
      <c r="A129" s="137"/>
      <c r="B129" s="137"/>
      <c r="C129" s="137"/>
      <c r="D129" s="137"/>
      <c r="E129" s="137"/>
      <c r="F129" s="137"/>
      <c r="G129" s="137"/>
      <c r="H129" s="137"/>
      <c r="I129" s="137"/>
      <c r="J129" s="137"/>
      <c r="K129" s="137"/>
      <c r="L129" s="137"/>
      <c r="M129" s="137"/>
      <c r="N129" s="137"/>
      <c r="O129" s="137"/>
      <c r="P129" s="137"/>
      <c r="Q129" s="137"/>
      <c r="R129" s="137"/>
      <c r="S129" s="137"/>
      <c r="T129" s="137"/>
      <c r="U129" s="137"/>
      <c r="V129" s="137"/>
      <c r="W129" s="137"/>
    </row>
    <row r="130" spans="1:23" x14ac:dyDescent="0.2">
      <c r="A130" s="137"/>
      <c r="B130" s="137"/>
      <c r="C130" s="137"/>
      <c r="D130" s="137"/>
      <c r="E130" s="137"/>
      <c r="F130" s="137"/>
      <c r="G130" s="137"/>
      <c r="H130" s="137"/>
      <c r="I130" s="137"/>
      <c r="J130" s="137"/>
      <c r="K130" s="137"/>
      <c r="L130" s="137"/>
      <c r="M130" s="137"/>
      <c r="N130" s="137"/>
      <c r="O130" s="137"/>
      <c r="P130" s="137"/>
      <c r="Q130" s="137"/>
      <c r="R130" s="137"/>
      <c r="S130" s="137"/>
      <c r="T130" s="137"/>
      <c r="U130" s="137"/>
      <c r="V130" s="137"/>
      <c r="W130" s="137"/>
    </row>
    <row r="131" spans="1:23" x14ac:dyDescent="0.2">
      <c r="A131" s="137"/>
      <c r="B131" s="137"/>
      <c r="C131" s="137"/>
      <c r="D131" s="137"/>
      <c r="E131" s="137"/>
      <c r="F131" s="137"/>
      <c r="G131" s="137"/>
      <c r="H131" s="137"/>
      <c r="I131" s="137"/>
      <c r="J131" s="137"/>
      <c r="K131" s="137"/>
      <c r="L131" s="137"/>
      <c r="M131" s="137"/>
      <c r="N131" s="137"/>
      <c r="O131" s="137"/>
      <c r="P131" s="137"/>
      <c r="Q131" s="137"/>
      <c r="R131" s="137"/>
      <c r="S131" s="137"/>
      <c r="T131" s="137"/>
      <c r="U131" s="137"/>
      <c r="V131" s="137"/>
      <c r="W131" s="137"/>
    </row>
    <row r="132" spans="1:23" x14ac:dyDescent="0.2">
      <c r="A132" s="137"/>
      <c r="B132" s="137"/>
      <c r="C132" s="137"/>
      <c r="D132" s="137"/>
      <c r="E132" s="137"/>
      <c r="F132" s="137"/>
      <c r="G132" s="137"/>
      <c r="H132" s="137"/>
      <c r="I132" s="137"/>
      <c r="J132" s="137"/>
      <c r="K132" s="137"/>
      <c r="L132" s="137"/>
      <c r="M132" s="137"/>
      <c r="N132" s="137"/>
      <c r="O132" s="137"/>
      <c r="P132" s="137"/>
      <c r="Q132" s="137"/>
      <c r="R132" s="137"/>
      <c r="S132" s="137"/>
      <c r="T132" s="137"/>
      <c r="U132" s="137"/>
      <c r="V132" s="137"/>
      <c r="W132" s="137"/>
    </row>
    <row r="133" spans="1:23" x14ac:dyDescent="0.2">
      <c r="A133" s="137"/>
      <c r="B133" s="137"/>
      <c r="C133" s="137"/>
      <c r="D133" s="137"/>
      <c r="E133" s="137"/>
      <c r="F133" s="137"/>
      <c r="G133" s="137"/>
      <c r="H133" s="137"/>
      <c r="I133" s="137"/>
      <c r="J133" s="137"/>
      <c r="K133" s="137"/>
      <c r="L133" s="137"/>
      <c r="M133" s="137"/>
      <c r="N133" s="137"/>
      <c r="O133" s="137"/>
      <c r="P133" s="137"/>
      <c r="Q133" s="137"/>
      <c r="R133" s="137"/>
      <c r="S133" s="137"/>
      <c r="T133" s="137"/>
      <c r="U133" s="137"/>
      <c r="V133" s="137"/>
      <c r="W133" s="137"/>
    </row>
    <row r="134" spans="1:23" x14ac:dyDescent="0.2">
      <c r="A134" s="137"/>
      <c r="B134" s="137"/>
      <c r="C134" s="137"/>
      <c r="D134" s="137"/>
      <c r="E134" s="137"/>
      <c r="F134" s="137"/>
      <c r="G134" s="137"/>
      <c r="H134" s="137"/>
      <c r="I134" s="137"/>
      <c r="J134" s="137"/>
      <c r="K134" s="137"/>
      <c r="L134" s="137"/>
      <c r="M134" s="137"/>
      <c r="N134" s="137"/>
      <c r="O134" s="137"/>
      <c r="P134" s="137"/>
      <c r="Q134" s="137"/>
      <c r="R134" s="137"/>
      <c r="S134" s="137"/>
      <c r="T134" s="137"/>
      <c r="U134" s="137"/>
      <c r="V134" s="137"/>
      <c r="W134" s="137"/>
    </row>
    <row r="135" spans="1:23" x14ac:dyDescent="0.2">
      <c r="A135" s="137"/>
      <c r="B135" s="137"/>
      <c r="C135" s="137"/>
      <c r="D135" s="137"/>
      <c r="E135" s="137"/>
      <c r="F135" s="137"/>
      <c r="G135" s="137"/>
      <c r="H135" s="137"/>
      <c r="I135" s="137"/>
      <c r="J135" s="137"/>
      <c r="K135" s="137"/>
      <c r="L135" s="137"/>
      <c r="M135" s="137"/>
      <c r="N135" s="137"/>
      <c r="O135" s="137"/>
      <c r="P135" s="137"/>
      <c r="Q135" s="137"/>
      <c r="R135" s="137"/>
      <c r="S135" s="137"/>
      <c r="T135" s="137"/>
      <c r="U135" s="137"/>
      <c r="V135" s="137"/>
      <c r="W135" s="137"/>
    </row>
    <row r="136" spans="1:23" x14ac:dyDescent="0.2">
      <c r="A136" s="137"/>
      <c r="B136" s="137"/>
      <c r="C136" s="137"/>
      <c r="D136" s="137"/>
      <c r="E136" s="137"/>
      <c r="F136" s="137"/>
      <c r="G136" s="137"/>
      <c r="H136" s="137"/>
      <c r="I136" s="137"/>
      <c r="J136" s="137"/>
      <c r="K136" s="137"/>
      <c r="L136" s="137"/>
      <c r="M136" s="137"/>
      <c r="N136" s="137"/>
      <c r="O136" s="137"/>
      <c r="P136" s="137"/>
      <c r="Q136" s="137"/>
      <c r="R136" s="137"/>
      <c r="S136" s="137"/>
      <c r="T136" s="137"/>
      <c r="U136" s="137"/>
      <c r="V136" s="137"/>
      <c r="W136" s="137"/>
    </row>
    <row r="137" spans="1:23" x14ac:dyDescent="0.2">
      <c r="A137" s="137"/>
      <c r="B137" s="137"/>
      <c r="C137" s="137"/>
      <c r="D137" s="137"/>
      <c r="E137" s="137"/>
      <c r="F137" s="137"/>
      <c r="G137" s="137"/>
      <c r="H137" s="137"/>
      <c r="I137" s="137"/>
      <c r="J137" s="137"/>
      <c r="K137" s="137"/>
      <c r="L137" s="137"/>
      <c r="M137" s="137"/>
      <c r="N137" s="137"/>
      <c r="O137" s="137"/>
      <c r="P137" s="137"/>
      <c r="Q137" s="137"/>
      <c r="R137" s="137"/>
      <c r="S137" s="137"/>
      <c r="T137" s="137"/>
      <c r="U137" s="137"/>
      <c r="V137" s="137"/>
      <c r="W137" s="137"/>
    </row>
    <row r="138" spans="1:23" x14ac:dyDescent="0.2">
      <c r="A138" s="137"/>
      <c r="B138" s="137"/>
      <c r="C138" s="137"/>
      <c r="D138" s="137"/>
      <c r="E138" s="137"/>
      <c r="F138" s="137"/>
      <c r="G138" s="137"/>
      <c r="H138" s="137"/>
      <c r="I138" s="137"/>
      <c r="J138" s="137"/>
      <c r="K138" s="137"/>
      <c r="L138" s="137"/>
      <c r="M138" s="137"/>
      <c r="N138" s="137"/>
      <c r="O138" s="137"/>
      <c r="P138" s="137"/>
      <c r="Q138" s="137"/>
      <c r="R138" s="137"/>
      <c r="S138" s="137"/>
      <c r="T138" s="137"/>
      <c r="U138" s="137"/>
      <c r="V138" s="137"/>
      <c r="W138" s="137"/>
    </row>
    <row r="139" spans="1:23" x14ac:dyDescent="0.2">
      <c r="A139" s="137"/>
      <c r="B139" s="137"/>
      <c r="C139" s="137"/>
      <c r="D139" s="137"/>
      <c r="E139" s="137"/>
      <c r="F139" s="137"/>
      <c r="G139" s="137"/>
      <c r="H139" s="137"/>
      <c r="I139" s="137"/>
      <c r="J139" s="137"/>
      <c r="K139" s="137"/>
      <c r="L139" s="137"/>
      <c r="M139" s="137"/>
      <c r="N139" s="137"/>
      <c r="O139" s="137"/>
      <c r="P139" s="137"/>
      <c r="Q139" s="137"/>
      <c r="R139" s="137"/>
      <c r="S139" s="137"/>
      <c r="T139" s="137"/>
      <c r="U139" s="137"/>
      <c r="V139" s="137"/>
      <c r="W139" s="137"/>
    </row>
    <row r="140" spans="1:23" x14ac:dyDescent="0.2">
      <c r="A140" s="137"/>
      <c r="B140" s="137"/>
      <c r="C140" s="137"/>
      <c r="D140" s="137"/>
      <c r="E140" s="137"/>
      <c r="F140" s="137"/>
      <c r="G140" s="137"/>
      <c r="H140" s="137"/>
      <c r="I140" s="137"/>
      <c r="J140" s="137"/>
      <c r="K140" s="137"/>
      <c r="L140" s="137"/>
      <c r="M140" s="137"/>
      <c r="N140" s="137"/>
      <c r="O140" s="137"/>
      <c r="P140" s="137"/>
      <c r="Q140" s="137"/>
      <c r="R140" s="137"/>
      <c r="S140" s="137"/>
      <c r="T140" s="137"/>
      <c r="U140" s="137"/>
      <c r="V140" s="137"/>
      <c r="W140" s="137"/>
    </row>
    <row r="141" spans="1:23" x14ac:dyDescent="0.2">
      <c r="A141" s="137"/>
      <c r="B141" s="137"/>
      <c r="C141" s="137"/>
      <c r="D141" s="137"/>
      <c r="E141" s="137"/>
      <c r="F141" s="137"/>
      <c r="G141" s="137"/>
      <c r="H141" s="137"/>
      <c r="I141" s="137"/>
      <c r="J141" s="137"/>
      <c r="K141" s="137"/>
      <c r="L141" s="137"/>
      <c r="M141" s="137"/>
      <c r="N141" s="137"/>
      <c r="O141" s="137"/>
      <c r="P141" s="137"/>
      <c r="Q141" s="137"/>
      <c r="R141" s="137"/>
      <c r="S141" s="137"/>
      <c r="T141" s="137"/>
      <c r="U141" s="137"/>
      <c r="V141" s="137"/>
      <c r="W141" s="137"/>
    </row>
    <row r="142" spans="1:23" x14ac:dyDescent="0.2">
      <c r="A142" s="137"/>
      <c r="B142" s="137"/>
      <c r="C142" s="137"/>
      <c r="D142" s="137"/>
      <c r="E142" s="137"/>
      <c r="F142" s="137"/>
      <c r="G142" s="137"/>
      <c r="H142" s="137"/>
      <c r="I142" s="137"/>
      <c r="J142" s="137"/>
      <c r="K142" s="137"/>
      <c r="L142" s="137"/>
      <c r="M142" s="137"/>
      <c r="N142" s="137"/>
      <c r="O142" s="137"/>
      <c r="P142" s="137"/>
      <c r="Q142" s="137"/>
      <c r="R142" s="137"/>
      <c r="S142" s="137"/>
      <c r="T142" s="137"/>
      <c r="U142" s="137"/>
      <c r="V142" s="137"/>
      <c r="W142" s="137"/>
    </row>
    <row r="143" spans="1:23" x14ac:dyDescent="0.2">
      <c r="A143" s="137"/>
      <c r="B143" s="137"/>
      <c r="C143" s="137"/>
      <c r="D143" s="137"/>
      <c r="E143" s="137"/>
      <c r="F143" s="137"/>
      <c r="G143" s="137"/>
      <c r="H143" s="137"/>
      <c r="I143" s="137"/>
      <c r="J143" s="137"/>
      <c r="K143" s="137"/>
      <c r="L143" s="137"/>
      <c r="M143" s="137"/>
      <c r="N143" s="137"/>
      <c r="O143" s="137"/>
      <c r="P143" s="137"/>
      <c r="Q143" s="137"/>
      <c r="R143" s="137"/>
      <c r="S143" s="137"/>
      <c r="T143" s="137"/>
      <c r="U143" s="137"/>
      <c r="V143" s="137"/>
      <c r="W143" s="137"/>
    </row>
    <row r="144" spans="1:23" x14ac:dyDescent="0.2">
      <c r="A144" s="137"/>
      <c r="B144" s="137"/>
      <c r="C144" s="137"/>
      <c r="D144" s="137"/>
      <c r="E144" s="137"/>
      <c r="F144" s="137"/>
      <c r="G144" s="137"/>
      <c r="H144" s="137"/>
      <c r="I144" s="137"/>
      <c r="J144" s="137"/>
      <c r="K144" s="137"/>
      <c r="L144" s="137"/>
      <c r="M144" s="137"/>
      <c r="N144" s="137"/>
      <c r="O144" s="137"/>
      <c r="P144" s="137"/>
      <c r="Q144" s="137"/>
      <c r="R144" s="137"/>
      <c r="S144" s="137"/>
      <c r="T144" s="137"/>
      <c r="U144" s="137"/>
      <c r="V144" s="137"/>
      <c r="W144" s="137"/>
    </row>
    <row r="145" spans="1:23" x14ac:dyDescent="0.2">
      <c r="A145" s="137"/>
      <c r="B145" s="137"/>
      <c r="C145" s="137"/>
      <c r="D145" s="137"/>
      <c r="E145" s="137"/>
      <c r="F145" s="137"/>
      <c r="G145" s="137"/>
      <c r="H145" s="137"/>
      <c r="I145" s="137"/>
      <c r="J145" s="137"/>
      <c r="K145" s="137"/>
      <c r="L145" s="137"/>
      <c r="M145" s="137"/>
      <c r="N145" s="137"/>
      <c r="O145" s="137"/>
      <c r="P145" s="137"/>
      <c r="Q145" s="137"/>
      <c r="R145" s="137"/>
      <c r="S145" s="137"/>
      <c r="T145" s="137"/>
      <c r="U145" s="137"/>
      <c r="V145" s="137"/>
      <c r="W145" s="137"/>
    </row>
    <row r="146" spans="1:23" x14ac:dyDescent="0.2">
      <c r="A146" s="137"/>
      <c r="B146" s="137"/>
      <c r="C146" s="137"/>
      <c r="D146" s="137"/>
      <c r="E146" s="137"/>
      <c r="F146" s="137"/>
      <c r="G146" s="137"/>
      <c r="H146" s="137"/>
      <c r="I146" s="137"/>
      <c r="J146" s="137"/>
      <c r="K146" s="137"/>
      <c r="L146" s="137"/>
      <c r="M146" s="137"/>
      <c r="N146" s="137"/>
      <c r="O146" s="137"/>
      <c r="P146" s="137"/>
      <c r="Q146" s="137"/>
      <c r="R146" s="137"/>
      <c r="S146" s="137"/>
      <c r="T146" s="137"/>
      <c r="U146" s="137"/>
      <c r="V146" s="137"/>
      <c r="W146" s="137"/>
    </row>
    <row r="147" spans="1:23" x14ac:dyDescent="0.2">
      <c r="A147" s="137"/>
      <c r="B147" s="137"/>
      <c r="C147" s="137"/>
      <c r="D147" s="137"/>
      <c r="E147" s="137"/>
      <c r="F147" s="137"/>
      <c r="G147" s="137"/>
      <c r="H147" s="137"/>
      <c r="I147" s="137"/>
      <c r="J147" s="137"/>
      <c r="K147" s="137"/>
      <c r="L147" s="137"/>
      <c r="M147" s="137"/>
      <c r="N147" s="137"/>
      <c r="O147" s="137"/>
      <c r="P147" s="137"/>
      <c r="Q147" s="137"/>
      <c r="R147" s="137"/>
      <c r="S147" s="137"/>
      <c r="T147" s="137"/>
      <c r="U147" s="137"/>
      <c r="V147" s="137"/>
      <c r="W147" s="137"/>
    </row>
    <row r="148" spans="1:23" x14ac:dyDescent="0.2">
      <c r="A148" s="137"/>
      <c r="B148" s="137"/>
      <c r="C148" s="137"/>
      <c r="D148" s="137"/>
      <c r="E148" s="137"/>
      <c r="F148" s="137"/>
      <c r="G148" s="137"/>
      <c r="H148" s="137"/>
      <c r="I148" s="137"/>
      <c r="J148" s="137"/>
      <c r="K148" s="137"/>
      <c r="L148" s="137"/>
      <c r="M148" s="137"/>
      <c r="N148" s="137"/>
      <c r="O148" s="137"/>
      <c r="P148" s="137"/>
      <c r="Q148" s="137"/>
      <c r="R148" s="137"/>
      <c r="S148" s="137"/>
      <c r="T148" s="137"/>
      <c r="U148" s="137"/>
      <c r="V148" s="137"/>
      <c r="W148" s="137"/>
    </row>
    <row r="149" spans="1:23" x14ac:dyDescent="0.2">
      <c r="A149" s="137"/>
      <c r="B149" s="137"/>
      <c r="C149" s="137"/>
      <c r="D149" s="137"/>
      <c r="E149" s="137"/>
      <c r="F149" s="137"/>
      <c r="G149" s="137"/>
      <c r="H149" s="137"/>
      <c r="I149" s="137"/>
      <c r="J149" s="137"/>
      <c r="K149" s="137"/>
      <c r="L149" s="137"/>
      <c r="M149" s="137"/>
      <c r="N149" s="137"/>
      <c r="O149" s="137"/>
      <c r="P149" s="137"/>
      <c r="Q149" s="137"/>
      <c r="R149" s="137"/>
      <c r="S149" s="137"/>
      <c r="T149" s="137"/>
      <c r="U149" s="137"/>
      <c r="V149" s="137"/>
      <c r="W149" s="137"/>
    </row>
    <row r="150" spans="1:23" x14ac:dyDescent="0.2">
      <c r="A150" s="137"/>
      <c r="B150" s="137"/>
      <c r="C150" s="137"/>
      <c r="D150" s="137"/>
      <c r="E150" s="137"/>
      <c r="F150" s="137"/>
      <c r="G150" s="137"/>
      <c r="H150" s="137"/>
      <c r="I150" s="137"/>
      <c r="J150" s="137"/>
      <c r="K150" s="137"/>
      <c r="L150" s="137"/>
      <c r="M150" s="137"/>
      <c r="N150" s="137"/>
      <c r="O150" s="137"/>
      <c r="P150" s="137"/>
      <c r="Q150" s="137"/>
      <c r="R150" s="137"/>
      <c r="S150" s="137"/>
      <c r="T150" s="137"/>
      <c r="U150" s="137"/>
      <c r="V150" s="137"/>
      <c r="W150" s="137"/>
    </row>
    <row r="151" spans="1:23" x14ac:dyDescent="0.2">
      <c r="A151" s="137"/>
      <c r="B151" s="137"/>
      <c r="C151" s="137"/>
      <c r="D151" s="137"/>
      <c r="E151" s="137"/>
      <c r="F151" s="137"/>
      <c r="G151" s="137"/>
      <c r="H151" s="137"/>
      <c r="I151" s="137"/>
      <c r="J151" s="137"/>
      <c r="K151" s="137"/>
      <c r="L151" s="137"/>
      <c r="M151" s="137"/>
      <c r="N151" s="137"/>
      <c r="O151" s="137"/>
      <c r="P151" s="137"/>
      <c r="Q151" s="137"/>
      <c r="R151" s="137"/>
      <c r="S151" s="137"/>
      <c r="T151" s="137"/>
      <c r="U151" s="137"/>
      <c r="V151" s="137"/>
      <c r="W151" s="137"/>
    </row>
    <row r="152" spans="1:23" x14ac:dyDescent="0.2">
      <c r="A152" s="137"/>
      <c r="B152" s="137"/>
      <c r="C152" s="137"/>
      <c r="D152" s="137"/>
      <c r="E152" s="137"/>
      <c r="F152" s="137"/>
      <c r="G152" s="137"/>
      <c r="H152" s="137"/>
      <c r="I152" s="137"/>
      <c r="J152" s="137"/>
      <c r="K152" s="137"/>
      <c r="L152" s="137"/>
      <c r="M152" s="137"/>
      <c r="N152" s="137"/>
      <c r="O152" s="137"/>
      <c r="P152" s="137"/>
      <c r="Q152" s="137"/>
      <c r="R152" s="137"/>
      <c r="S152" s="137"/>
      <c r="T152" s="137"/>
      <c r="U152" s="137"/>
      <c r="V152" s="137"/>
      <c r="W152" s="137"/>
    </row>
    <row r="153" spans="1:23" x14ac:dyDescent="0.2">
      <c r="A153" s="137"/>
      <c r="B153" s="137"/>
      <c r="C153" s="137"/>
      <c r="D153" s="137"/>
      <c r="E153" s="137"/>
      <c r="F153" s="137"/>
      <c r="G153" s="137"/>
      <c r="H153" s="137"/>
      <c r="I153" s="137"/>
      <c r="J153" s="137"/>
      <c r="K153" s="137"/>
      <c r="L153" s="137"/>
      <c r="M153" s="137"/>
      <c r="N153" s="137"/>
      <c r="O153" s="137"/>
      <c r="P153" s="137"/>
      <c r="Q153" s="137"/>
      <c r="R153" s="137"/>
      <c r="S153" s="137"/>
      <c r="T153" s="137"/>
      <c r="U153" s="137"/>
      <c r="V153" s="137"/>
      <c r="W153" s="137"/>
    </row>
    <row r="154" spans="1:23" x14ac:dyDescent="0.2">
      <c r="A154" s="137"/>
      <c r="B154" s="137"/>
      <c r="C154" s="137"/>
      <c r="D154" s="137"/>
      <c r="E154" s="137"/>
      <c r="F154" s="137"/>
      <c r="G154" s="137"/>
      <c r="H154" s="137"/>
      <c r="I154" s="137"/>
      <c r="J154" s="137"/>
      <c r="K154" s="137"/>
      <c r="L154" s="137"/>
      <c r="M154" s="137"/>
      <c r="N154" s="137"/>
      <c r="O154" s="137"/>
      <c r="P154" s="137"/>
      <c r="Q154" s="137"/>
      <c r="R154" s="137"/>
      <c r="S154" s="137"/>
      <c r="T154" s="137"/>
      <c r="U154" s="137"/>
      <c r="V154" s="137"/>
      <c r="W154" s="137"/>
    </row>
    <row r="155" spans="1:23" x14ac:dyDescent="0.2">
      <c r="A155" s="137"/>
      <c r="B155" s="137"/>
      <c r="C155" s="137"/>
      <c r="D155" s="137"/>
      <c r="E155" s="137"/>
      <c r="F155" s="137"/>
      <c r="G155" s="137"/>
      <c r="H155" s="137"/>
      <c r="I155" s="137"/>
      <c r="J155" s="137"/>
      <c r="K155" s="137"/>
      <c r="L155" s="137"/>
      <c r="M155" s="137"/>
      <c r="N155" s="137"/>
      <c r="O155" s="137"/>
      <c r="P155" s="137"/>
      <c r="Q155" s="137"/>
      <c r="R155" s="137"/>
      <c r="S155" s="137"/>
      <c r="T155" s="137"/>
      <c r="U155" s="137"/>
      <c r="V155" s="137"/>
      <c r="W155" s="137"/>
    </row>
    <row r="156" spans="1:23" x14ac:dyDescent="0.2">
      <c r="A156" s="137"/>
      <c r="B156" s="137"/>
      <c r="C156" s="137"/>
      <c r="D156" s="137"/>
      <c r="E156" s="137"/>
      <c r="F156" s="137"/>
      <c r="G156" s="137"/>
      <c r="H156" s="137"/>
      <c r="I156" s="137"/>
      <c r="J156" s="137"/>
      <c r="K156" s="137"/>
      <c r="L156" s="137"/>
      <c r="M156" s="137"/>
      <c r="N156" s="137"/>
      <c r="O156" s="137"/>
      <c r="P156" s="137"/>
      <c r="Q156" s="137"/>
      <c r="R156" s="137"/>
      <c r="S156" s="137"/>
      <c r="T156" s="137"/>
      <c r="U156" s="137"/>
      <c r="V156" s="137"/>
      <c r="W156" s="137"/>
    </row>
    <row r="157" spans="1:23" x14ac:dyDescent="0.2">
      <c r="A157" s="137"/>
      <c r="B157" s="137"/>
      <c r="C157" s="137"/>
      <c r="D157" s="137"/>
      <c r="E157" s="137"/>
      <c r="F157" s="137"/>
      <c r="G157" s="137"/>
      <c r="H157" s="137"/>
      <c r="I157" s="137"/>
      <c r="J157" s="137"/>
      <c r="K157" s="137"/>
      <c r="L157" s="137"/>
      <c r="M157" s="137"/>
      <c r="N157" s="137"/>
      <c r="O157" s="137"/>
      <c r="P157" s="137"/>
      <c r="Q157" s="137"/>
      <c r="R157" s="137"/>
      <c r="S157" s="137"/>
      <c r="T157" s="137"/>
      <c r="U157" s="137"/>
      <c r="V157" s="137"/>
      <c r="W157" s="137"/>
    </row>
    <row r="158" spans="1:23" x14ac:dyDescent="0.2">
      <c r="A158" s="137"/>
      <c r="B158" s="137"/>
      <c r="C158" s="137"/>
      <c r="D158" s="137"/>
      <c r="E158" s="137"/>
      <c r="F158" s="137"/>
      <c r="G158" s="137"/>
      <c r="H158" s="137"/>
      <c r="I158" s="137"/>
      <c r="J158" s="137"/>
      <c r="K158" s="137"/>
      <c r="L158" s="137"/>
      <c r="M158" s="137"/>
      <c r="N158" s="137"/>
      <c r="O158" s="137"/>
      <c r="P158" s="137"/>
      <c r="Q158" s="137"/>
      <c r="R158" s="137"/>
      <c r="S158" s="137"/>
      <c r="T158" s="137"/>
      <c r="U158" s="137"/>
      <c r="V158" s="137"/>
      <c r="W158" s="137"/>
    </row>
    <row r="159" spans="1:23" x14ac:dyDescent="0.2">
      <c r="A159" s="137"/>
      <c r="B159" s="137"/>
      <c r="C159" s="137"/>
      <c r="D159" s="137"/>
      <c r="E159" s="137"/>
      <c r="F159" s="137"/>
      <c r="G159" s="137"/>
      <c r="H159" s="137"/>
      <c r="I159" s="137"/>
      <c r="J159" s="137"/>
      <c r="K159" s="137"/>
      <c r="L159" s="137"/>
      <c r="M159" s="137"/>
      <c r="N159" s="137"/>
      <c r="O159" s="137"/>
      <c r="P159" s="137"/>
      <c r="Q159" s="137"/>
      <c r="R159" s="137"/>
      <c r="S159" s="137"/>
      <c r="T159" s="137"/>
      <c r="U159" s="137"/>
      <c r="V159" s="137"/>
      <c r="W159" s="137"/>
    </row>
    <row r="160" spans="1:23" x14ac:dyDescent="0.2">
      <c r="A160" s="137"/>
      <c r="B160" s="137"/>
      <c r="C160" s="137"/>
      <c r="D160" s="137"/>
      <c r="E160" s="137"/>
      <c r="F160" s="137"/>
      <c r="G160" s="137"/>
      <c r="H160" s="137"/>
      <c r="I160" s="137"/>
      <c r="J160" s="137"/>
      <c r="K160" s="137"/>
      <c r="L160" s="137"/>
      <c r="M160" s="137"/>
      <c r="N160" s="137"/>
      <c r="O160" s="137"/>
      <c r="P160" s="137"/>
      <c r="Q160" s="137"/>
      <c r="R160" s="137"/>
      <c r="S160" s="137"/>
      <c r="T160" s="137"/>
      <c r="U160" s="137"/>
      <c r="V160" s="137"/>
      <c r="W160" s="137"/>
    </row>
    <row r="161" spans="1:23" x14ac:dyDescent="0.2">
      <c r="A161" s="137"/>
      <c r="B161" s="137"/>
      <c r="C161" s="137"/>
      <c r="D161" s="137"/>
      <c r="E161" s="137"/>
      <c r="F161" s="137"/>
      <c r="G161" s="137"/>
      <c r="H161" s="137"/>
      <c r="I161" s="137"/>
      <c r="J161" s="137"/>
      <c r="K161" s="137"/>
      <c r="L161" s="137"/>
      <c r="M161" s="137"/>
      <c r="N161" s="137"/>
      <c r="O161" s="137"/>
      <c r="P161" s="137"/>
      <c r="Q161" s="137"/>
      <c r="R161" s="137"/>
      <c r="S161" s="137"/>
      <c r="T161" s="137"/>
      <c r="U161" s="137"/>
      <c r="V161" s="137"/>
      <c r="W161" s="137"/>
    </row>
    <row r="162" spans="1:23" x14ac:dyDescent="0.2">
      <c r="A162" s="137"/>
      <c r="B162" s="137"/>
      <c r="C162" s="137"/>
      <c r="D162" s="137"/>
      <c r="E162" s="137"/>
      <c r="F162" s="137"/>
      <c r="G162" s="137"/>
      <c r="H162" s="137"/>
      <c r="I162" s="137"/>
      <c r="J162" s="137"/>
      <c r="K162" s="137"/>
      <c r="L162" s="137"/>
      <c r="M162" s="137"/>
      <c r="N162" s="137"/>
      <c r="O162" s="137"/>
      <c r="P162" s="137"/>
      <c r="Q162" s="137"/>
      <c r="R162" s="137"/>
      <c r="S162" s="137"/>
      <c r="T162" s="137"/>
      <c r="U162" s="137"/>
      <c r="V162" s="137"/>
      <c r="W162" s="137"/>
    </row>
    <row r="163" spans="1:23" x14ac:dyDescent="0.2">
      <c r="A163" s="137"/>
      <c r="B163" s="137"/>
      <c r="C163" s="137"/>
      <c r="D163" s="137"/>
      <c r="E163" s="137"/>
      <c r="F163" s="137"/>
      <c r="G163" s="137"/>
      <c r="H163" s="137"/>
      <c r="I163" s="137"/>
      <c r="J163" s="137"/>
      <c r="K163" s="137"/>
      <c r="L163" s="137"/>
      <c r="M163" s="137"/>
      <c r="N163" s="137"/>
      <c r="O163" s="137"/>
      <c r="P163" s="137"/>
      <c r="Q163" s="137"/>
      <c r="R163" s="137"/>
      <c r="S163" s="137"/>
      <c r="T163" s="137"/>
      <c r="U163" s="137"/>
      <c r="V163" s="137"/>
      <c r="W163" s="137"/>
    </row>
    <row r="164" spans="1:23" x14ac:dyDescent="0.2">
      <c r="A164" s="137"/>
      <c r="B164" s="137"/>
      <c r="C164" s="137"/>
      <c r="D164" s="137"/>
      <c r="E164" s="137"/>
      <c r="F164" s="137"/>
      <c r="G164" s="137"/>
      <c r="H164" s="137"/>
      <c r="I164" s="137"/>
      <c r="J164" s="137"/>
      <c r="K164" s="137"/>
      <c r="L164" s="137"/>
      <c r="M164" s="137"/>
      <c r="N164" s="137"/>
      <c r="O164" s="137"/>
      <c r="P164" s="137"/>
      <c r="Q164" s="137"/>
      <c r="R164" s="137"/>
      <c r="S164" s="137"/>
      <c r="T164" s="137"/>
      <c r="U164" s="137"/>
      <c r="V164" s="137"/>
      <c r="W164" s="137"/>
    </row>
    <row r="165" spans="1:23" x14ac:dyDescent="0.2">
      <c r="A165" s="137"/>
      <c r="B165" s="137"/>
      <c r="C165" s="137"/>
      <c r="D165" s="137"/>
      <c r="E165" s="137"/>
      <c r="F165" s="137"/>
      <c r="G165" s="137"/>
      <c r="H165" s="137"/>
      <c r="I165" s="137"/>
      <c r="J165" s="137"/>
      <c r="K165" s="137"/>
      <c r="L165" s="137"/>
      <c r="M165" s="137"/>
      <c r="N165" s="137"/>
      <c r="O165" s="137"/>
      <c r="P165" s="137"/>
      <c r="Q165" s="137"/>
      <c r="R165" s="137"/>
      <c r="S165" s="137"/>
      <c r="T165" s="137"/>
      <c r="U165" s="137"/>
      <c r="V165" s="137"/>
      <c r="W165" s="137"/>
    </row>
    <row r="166" spans="1:23" x14ac:dyDescent="0.2">
      <c r="A166" s="137"/>
      <c r="B166" s="137"/>
      <c r="C166" s="137"/>
      <c r="D166" s="137"/>
      <c r="E166" s="137"/>
      <c r="F166" s="137"/>
      <c r="G166" s="137"/>
      <c r="H166" s="137"/>
      <c r="I166" s="137"/>
      <c r="J166" s="137"/>
      <c r="K166" s="137"/>
      <c r="L166" s="137"/>
      <c r="M166" s="137"/>
      <c r="N166" s="137"/>
      <c r="O166" s="137"/>
      <c r="P166" s="137"/>
      <c r="Q166" s="137"/>
      <c r="R166" s="137"/>
      <c r="S166" s="137"/>
      <c r="T166" s="137"/>
      <c r="U166" s="137"/>
      <c r="V166" s="137"/>
      <c r="W166" s="137"/>
    </row>
    <row r="167" spans="1:23" x14ac:dyDescent="0.2">
      <c r="A167" s="137"/>
      <c r="B167" s="137"/>
      <c r="C167" s="137"/>
      <c r="D167" s="137"/>
      <c r="E167" s="137"/>
      <c r="F167" s="137"/>
      <c r="G167" s="137"/>
      <c r="H167" s="137"/>
      <c r="I167" s="137"/>
      <c r="J167" s="137"/>
      <c r="K167" s="137"/>
      <c r="L167" s="137"/>
      <c r="M167" s="137"/>
      <c r="N167" s="137"/>
      <c r="O167" s="137"/>
      <c r="P167" s="137"/>
      <c r="Q167" s="137"/>
      <c r="R167" s="137"/>
      <c r="S167" s="137"/>
      <c r="T167" s="137"/>
      <c r="U167" s="137"/>
      <c r="V167" s="137"/>
      <c r="W167" s="137"/>
    </row>
    <row r="168" spans="1:23" x14ac:dyDescent="0.2">
      <c r="A168" s="137"/>
      <c r="B168" s="137"/>
      <c r="C168" s="137"/>
      <c r="D168" s="137"/>
      <c r="E168" s="137"/>
      <c r="F168" s="137"/>
      <c r="G168" s="137"/>
      <c r="H168" s="137"/>
      <c r="I168" s="137"/>
      <c r="J168" s="137"/>
      <c r="K168" s="137"/>
      <c r="L168" s="137"/>
      <c r="M168" s="137"/>
      <c r="N168" s="137"/>
      <c r="O168" s="137"/>
      <c r="P168" s="137"/>
      <c r="Q168" s="137"/>
      <c r="R168" s="137"/>
      <c r="S168" s="137"/>
      <c r="T168" s="137"/>
      <c r="U168" s="137"/>
      <c r="V168" s="137"/>
      <c r="W168" s="137"/>
    </row>
    <row r="169" spans="1:23" x14ac:dyDescent="0.2">
      <c r="A169" s="137"/>
      <c r="B169" s="137"/>
      <c r="C169" s="137"/>
      <c r="D169" s="137"/>
      <c r="E169" s="137"/>
      <c r="F169" s="137"/>
      <c r="G169" s="137"/>
      <c r="H169" s="137"/>
      <c r="I169" s="137"/>
      <c r="J169" s="137"/>
      <c r="K169" s="137"/>
      <c r="L169" s="137"/>
      <c r="M169" s="137"/>
      <c r="N169" s="137"/>
      <c r="O169" s="137"/>
      <c r="P169" s="137"/>
      <c r="Q169" s="137"/>
      <c r="R169" s="137"/>
      <c r="S169" s="137"/>
      <c r="T169" s="137"/>
      <c r="U169" s="137"/>
      <c r="V169" s="137"/>
      <c r="W169" s="137"/>
    </row>
    <row r="170" spans="1:23" x14ac:dyDescent="0.2">
      <c r="A170" s="137"/>
      <c r="B170" s="137"/>
      <c r="C170" s="137"/>
      <c r="D170" s="137"/>
      <c r="E170" s="137"/>
      <c r="F170" s="137"/>
      <c r="G170" s="137"/>
      <c r="H170" s="137"/>
      <c r="I170" s="137"/>
      <c r="J170" s="137"/>
      <c r="K170" s="137"/>
      <c r="L170" s="137"/>
      <c r="M170" s="137"/>
      <c r="N170" s="137"/>
      <c r="O170" s="137"/>
      <c r="P170" s="137"/>
      <c r="Q170" s="137"/>
      <c r="R170" s="137"/>
      <c r="S170" s="137"/>
      <c r="T170" s="137"/>
      <c r="U170" s="137"/>
      <c r="V170" s="137"/>
      <c r="W170" s="137"/>
    </row>
    <row r="171" spans="1:23" x14ac:dyDescent="0.2">
      <c r="A171" s="137"/>
      <c r="B171" s="137"/>
      <c r="C171" s="137"/>
      <c r="D171" s="137"/>
      <c r="E171" s="137"/>
      <c r="F171" s="137"/>
      <c r="G171" s="137"/>
      <c r="H171" s="137"/>
      <c r="I171" s="137"/>
      <c r="J171" s="137"/>
      <c r="K171" s="137"/>
      <c r="L171" s="137"/>
      <c r="M171" s="137"/>
      <c r="N171" s="137"/>
      <c r="O171" s="137"/>
      <c r="P171" s="137"/>
      <c r="Q171" s="137"/>
      <c r="R171" s="137"/>
      <c r="S171" s="137"/>
      <c r="T171" s="137"/>
      <c r="U171" s="137"/>
      <c r="V171" s="137"/>
      <c r="W171" s="137"/>
    </row>
    <row r="172" spans="1:23" x14ac:dyDescent="0.2">
      <c r="A172" s="137"/>
      <c r="B172" s="137"/>
      <c r="C172" s="137"/>
      <c r="D172" s="137"/>
      <c r="E172" s="137"/>
      <c r="F172" s="137"/>
      <c r="G172" s="137"/>
      <c r="H172" s="137"/>
      <c r="I172" s="137"/>
      <c r="J172" s="137"/>
      <c r="K172" s="137"/>
      <c r="L172" s="137"/>
      <c r="M172" s="137"/>
      <c r="N172" s="137"/>
      <c r="O172" s="137"/>
      <c r="P172" s="137"/>
      <c r="Q172" s="137"/>
      <c r="R172" s="137"/>
      <c r="S172" s="137"/>
      <c r="T172" s="137"/>
      <c r="U172" s="137"/>
      <c r="V172" s="137"/>
      <c r="W172" s="137"/>
    </row>
    <row r="173" spans="1:23" x14ac:dyDescent="0.2">
      <c r="A173" s="137"/>
      <c r="B173" s="137"/>
      <c r="C173" s="137"/>
      <c r="D173" s="137"/>
      <c r="E173" s="137"/>
      <c r="F173" s="137"/>
      <c r="G173" s="137"/>
      <c r="H173" s="137"/>
      <c r="I173" s="137"/>
      <c r="J173" s="137"/>
      <c r="K173" s="137"/>
      <c r="L173" s="137"/>
      <c r="M173" s="137"/>
      <c r="N173" s="137"/>
      <c r="O173" s="137"/>
      <c r="P173" s="137"/>
      <c r="Q173" s="137"/>
      <c r="R173" s="137"/>
      <c r="S173" s="137"/>
      <c r="T173" s="137"/>
      <c r="U173" s="137"/>
      <c r="V173" s="137"/>
      <c r="W173" s="137"/>
    </row>
    <row r="174" spans="1:23" x14ac:dyDescent="0.2">
      <c r="A174" s="137"/>
      <c r="B174" s="137"/>
      <c r="C174" s="137"/>
      <c r="D174" s="137"/>
      <c r="E174" s="137"/>
      <c r="F174" s="137"/>
      <c r="G174" s="137"/>
      <c r="H174" s="137"/>
      <c r="I174" s="137"/>
      <c r="J174" s="137"/>
      <c r="K174" s="137"/>
      <c r="L174" s="137"/>
      <c r="M174" s="137"/>
      <c r="N174" s="137"/>
      <c r="O174" s="137"/>
      <c r="P174" s="137"/>
      <c r="Q174" s="137"/>
      <c r="R174" s="137"/>
      <c r="S174" s="137"/>
      <c r="T174" s="137"/>
      <c r="U174" s="137"/>
      <c r="V174" s="137"/>
      <c r="W174" s="137"/>
    </row>
    <row r="175" spans="1:23" x14ac:dyDescent="0.2">
      <c r="A175" s="137"/>
      <c r="B175" s="137"/>
      <c r="C175" s="137"/>
      <c r="D175" s="137"/>
      <c r="E175" s="137"/>
      <c r="F175" s="137"/>
      <c r="G175" s="137"/>
      <c r="H175" s="137"/>
      <c r="I175" s="137"/>
      <c r="J175" s="137"/>
      <c r="K175" s="137"/>
      <c r="L175" s="137"/>
      <c r="M175" s="137"/>
      <c r="N175" s="137"/>
      <c r="O175" s="137"/>
      <c r="P175" s="137"/>
      <c r="Q175" s="137"/>
      <c r="R175" s="137"/>
      <c r="S175" s="137"/>
      <c r="T175" s="137"/>
      <c r="U175" s="137"/>
      <c r="V175" s="137"/>
      <c r="W175" s="137"/>
    </row>
    <row r="176" spans="1:23" x14ac:dyDescent="0.2">
      <c r="A176" s="137"/>
      <c r="B176" s="137"/>
      <c r="C176" s="137"/>
      <c r="D176" s="137"/>
      <c r="E176" s="137"/>
      <c r="F176" s="137"/>
      <c r="G176" s="137"/>
      <c r="H176" s="137"/>
      <c r="I176" s="137"/>
      <c r="J176" s="137"/>
      <c r="K176" s="137"/>
      <c r="L176" s="137"/>
      <c r="M176" s="137"/>
      <c r="N176" s="137"/>
      <c r="O176" s="137"/>
      <c r="P176" s="137"/>
      <c r="Q176" s="137"/>
      <c r="R176" s="137"/>
      <c r="S176" s="137"/>
      <c r="T176" s="137"/>
      <c r="U176" s="137"/>
      <c r="V176" s="137"/>
      <c r="W176" s="137"/>
    </row>
    <row r="177" spans="1:23" x14ac:dyDescent="0.2">
      <c r="A177" s="137"/>
      <c r="B177" s="137"/>
      <c r="C177" s="137"/>
      <c r="D177" s="137"/>
      <c r="E177" s="137"/>
      <c r="F177" s="137"/>
      <c r="G177" s="137"/>
      <c r="H177" s="137"/>
      <c r="I177" s="137"/>
      <c r="J177" s="137"/>
      <c r="K177" s="137"/>
      <c r="L177" s="137"/>
      <c r="M177" s="137"/>
      <c r="N177" s="137"/>
      <c r="O177" s="137"/>
      <c r="P177" s="137"/>
      <c r="Q177" s="137"/>
      <c r="R177" s="137"/>
      <c r="S177" s="137"/>
      <c r="T177" s="137"/>
      <c r="U177" s="137"/>
      <c r="V177" s="137"/>
      <c r="W177" s="137"/>
    </row>
    <row r="178" spans="1:23" x14ac:dyDescent="0.2">
      <c r="A178" s="137"/>
      <c r="B178" s="137"/>
      <c r="C178" s="137"/>
      <c r="D178" s="137"/>
      <c r="E178" s="137"/>
      <c r="F178" s="137"/>
      <c r="G178" s="137"/>
      <c r="H178" s="137"/>
      <c r="I178" s="137"/>
      <c r="J178" s="137"/>
      <c r="K178" s="137"/>
      <c r="L178" s="137"/>
      <c r="M178" s="137"/>
      <c r="N178" s="137"/>
      <c r="O178" s="137"/>
      <c r="P178" s="137"/>
      <c r="Q178" s="137"/>
      <c r="R178" s="137"/>
      <c r="S178" s="137"/>
      <c r="T178" s="137"/>
      <c r="U178" s="137"/>
      <c r="V178" s="137"/>
      <c r="W178" s="137"/>
    </row>
    <row r="179" spans="1:23" x14ac:dyDescent="0.2">
      <c r="A179" s="137"/>
      <c r="B179" s="137"/>
      <c r="C179" s="137"/>
      <c r="D179" s="137"/>
      <c r="E179" s="137"/>
      <c r="F179" s="137"/>
      <c r="G179" s="137"/>
      <c r="H179" s="137"/>
      <c r="I179" s="137"/>
      <c r="J179" s="137"/>
      <c r="K179" s="137"/>
      <c r="L179" s="137"/>
      <c r="M179" s="137"/>
      <c r="N179" s="137"/>
      <c r="O179" s="137"/>
      <c r="P179" s="137"/>
      <c r="Q179" s="137"/>
      <c r="R179" s="137"/>
      <c r="S179" s="137"/>
      <c r="T179" s="137"/>
      <c r="U179" s="137"/>
      <c r="V179" s="137"/>
      <c r="W179" s="137"/>
    </row>
    <row r="180" spans="1:23" x14ac:dyDescent="0.2">
      <c r="A180" s="137"/>
      <c r="B180" s="137"/>
      <c r="C180" s="137"/>
      <c r="D180" s="137"/>
      <c r="E180" s="137"/>
      <c r="F180" s="137"/>
      <c r="G180" s="137"/>
      <c r="H180" s="137"/>
      <c r="I180" s="137"/>
      <c r="J180" s="137"/>
      <c r="K180" s="137"/>
      <c r="L180" s="137"/>
      <c r="M180" s="137"/>
      <c r="N180" s="137"/>
      <c r="O180" s="137"/>
      <c r="P180" s="137"/>
      <c r="Q180" s="137"/>
      <c r="R180" s="137"/>
      <c r="S180" s="137"/>
      <c r="T180" s="137"/>
      <c r="U180" s="137"/>
      <c r="V180" s="137"/>
      <c r="W180" s="137"/>
    </row>
    <row r="181" spans="1:23" x14ac:dyDescent="0.2">
      <c r="A181" s="137"/>
      <c r="B181" s="137"/>
      <c r="C181" s="137"/>
      <c r="D181" s="137"/>
      <c r="E181" s="137"/>
      <c r="F181" s="137"/>
      <c r="G181" s="137"/>
      <c r="H181" s="137"/>
      <c r="I181" s="137"/>
      <c r="J181" s="137"/>
      <c r="K181" s="137"/>
      <c r="L181" s="137"/>
      <c r="M181" s="137"/>
      <c r="N181" s="137"/>
      <c r="O181" s="137"/>
      <c r="P181" s="137"/>
      <c r="Q181" s="137"/>
      <c r="R181" s="137"/>
      <c r="S181" s="137"/>
      <c r="T181" s="137"/>
      <c r="U181" s="137"/>
      <c r="V181" s="137"/>
      <c r="W181" s="137"/>
    </row>
    <row r="182" spans="1:23" x14ac:dyDescent="0.2">
      <c r="A182" s="137"/>
      <c r="B182" s="137"/>
      <c r="C182" s="137"/>
      <c r="D182" s="137"/>
      <c r="E182" s="137"/>
      <c r="F182" s="137"/>
      <c r="G182" s="137"/>
      <c r="H182" s="137"/>
      <c r="I182" s="137"/>
      <c r="J182" s="137"/>
      <c r="K182" s="137"/>
      <c r="L182" s="137"/>
      <c r="M182" s="137"/>
      <c r="N182" s="137"/>
      <c r="O182" s="137"/>
      <c r="P182" s="137"/>
      <c r="Q182" s="137"/>
      <c r="R182" s="137"/>
      <c r="S182" s="137"/>
      <c r="T182" s="137"/>
      <c r="U182" s="137"/>
      <c r="V182" s="137"/>
      <c r="W182" s="137"/>
    </row>
    <row r="183" spans="1:23" x14ac:dyDescent="0.2">
      <c r="A183" s="137"/>
      <c r="B183" s="137"/>
      <c r="C183" s="137"/>
      <c r="D183" s="137"/>
      <c r="E183" s="137"/>
      <c r="F183" s="137"/>
      <c r="G183" s="137"/>
      <c r="H183" s="137"/>
      <c r="I183" s="137"/>
      <c r="J183" s="137"/>
      <c r="K183" s="137"/>
      <c r="L183" s="137"/>
      <c r="M183" s="137"/>
      <c r="N183" s="137"/>
      <c r="O183" s="137"/>
      <c r="P183" s="137"/>
      <c r="Q183" s="137"/>
      <c r="R183" s="137"/>
      <c r="S183" s="137"/>
      <c r="T183" s="137"/>
      <c r="U183" s="137"/>
      <c r="V183" s="137"/>
      <c r="W183" s="137"/>
    </row>
    <row r="184" spans="1:23" x14ac:dyDescent="0.2">
      <c r="A184" s="137"/>
      <c r="B184" s="137"/>
      <c r="C184" s="137"/>
      <c r="D184" s="137"/>
      <c r="E184" s="137"/>
      <c r="F184" s="137"/>
      <c r="G184" s="137"/>
      <c r="H184" s="137"/>
      <c r="I184" s="137"/>
      <c r="J184" s="137"/>
      <c r="K184" s="137"/>
      <c r="L184" s="137"/>
      <c r="M184" s="137"/>
      <c r="N184" s="137"/>
      <c r="O184" s="137"/>
      <c r="P184" s="137"/>
      <c r="Q184" s="137"/>
      <c r="R184" s="137"/>
      <c r="S184" s="137"/>
      <c r="T184" s="137"/>
      <c r="U184" s="137"/>
      <c r="V184" s="137"/>
      <c r="W184" s="137"/>
    </row>
    <row r="185" spans="1:23" x14ac:dyDescent="0.2">
      <c r="A185" s="137"/>
      <c r="B185" s="137"/>
      <c r="C185" s="137"/>
      <c r="D185" s="137"/>
      <c r="E185" s="137"/>
      <c r="F185" s="137"/>
      <c r="G185" s="137"/>
      <c r="H185" s="137"/>
      <c r="I185" s="137"/>
      <c r="J185" s="137"/>
      <c r="K185" s="137"/>
      <c r="L185" s="137"/>
      <c r="M185" s="137"/>
      <c r="N185" s="137"/>
      <c r="O185" s="137"/>
      <c r="P185" s="137"/>
      <c r="Q185" s="137"/>
      <c r="R185" s="137"/>
      <c r="S185" s="137"/>
      <c r="T185" s="137"/>
      <c r="U185" s="137"/>
      <c r="V185" s="137"/>
      <c r="W185" s="137"/>
    </row>
    <row r="186" spans="1:23" x14ac:dyDescent="0.2">
      <c r="A186" s="137"/>
      <c r="B186" s="137"/>
      <c r="C186" s="137"/>
      <c r="D186" s="137"/>
      <c r="E186" s="137"/>
      <c r="F186" s="137"/>
      <c r="G186" s="137"/>
      <c r="H186" s="137"/>
      <c r="I186" s="137"/>
      <c r="J186" s="137"/>
      <c r="K186" s="137"/>
      <c r="L186" s="137"/>
      <c r="M186" s="137"/>
      <c r="N186" s="137"/>
      <c r="O186" s="137"/>
      <c r="P186" s="137"/>
      <c r="Q186" s="137"/>
      <c r="R186" s="137"/>
      <c r="S186" s="137"/>
      <c r="T186" s="137"/>
      <c r="U186" s="137"/>
      <c r="V186" s="137"/>
      <c r="W186" s="137"/>
    </row>
    <row r="187" spans="1:23" x14ac:dyDescent="0.2">
      <c r="A187" s="137"/>
      <c r="B187" s="137"/>
      <c r="C187" s="137"/>
      <c r="D187" s="137"/>
      <c r="E187" s="137"/>
      <c r="F187" s="137"/>
      <c r="G187" s="137"/>
      <c r="H187" s="137"/>
      <c r="I187" s="137"/>
      <c r="J187" s="137"/>
      <c r="K187" s="137"/>
      <c r="L187" s="137"/>
      <c r="M187" s="137"/>
      <c r="N187" s="137"/>
      <c r="O187" s="137"/>
      <c r="P187" s="137"/>
      <c r="Q187" s="137"/>
      <c r="R187" s="137"/>
      <c r="S187" s="137"/>
      <c r="T187" s="137"/>
      <c r="U187" s="137"/>
      <c r="V187" s="137"/>
      <c r="W187" s="137"/>
    </row>
    <row r="188" spans="1:23" x14ac:dyDescent="0.2">
      <c r="A188" s="137"/>
      <c r="B188" s="137"/>
      <c r="C188" s="137"/>
      <c r="D188" s="137"/>
      <c r="E188" s="137"/>
      <c r="F188" s="137"/>
      <c r="G188" s="137"/>
      <c r="H188" s="137"/>
      <c r="I188" s="137"/>
      <c r="J188" s="137"/>
      <c r="K188" s="137"/>
      <c r="L188" s="137"/>
      <c r="M188" s="137"/>
      <c r="N188" s="137"/>
      <c r="O188" s="137"/>
      <c r="P188" s="137"/>
      <c r="Q188" s="137"/>
      <c r="R188" s="137"/>
      <c r="S188" s="137"/>
      <c r="T188" s="137"/>
      <c r="U188" s="137"/>
      <c r="V188" s="137"/>
      <c r="W188" s="137"/>
    </row>
    <row r="189" spans="1:23" x14ac:dyDescent="0.2">
      <c r="A189" s="137"/>
      <c r="B189" s="137"/>
      <c r="C189" s="137"/>
      <c r="D189" s="137"/>
      <c r="E189" s="137"/>
      <c r="F189" s="137"/>
      <c r="G189" s="137"/>
      <c r="H189" s="137"/>
      <c r="I189" s="137"/>
      <c r="J189" s="137"/>
      <c r="K189" s="137"/>
      <c r="L189" s="137"/>
      <c r="M189" s="137"/>
      <c r="N189" s="137"/>
      <c r="O189" s="137"/>
      <c r="P189" s="137"/>
      <c r="Q189" s="137"/>
      <c r="R189" s="137"/>
      <c r="S189" s="137"/>
      <c r="T189" s="137"/>
      <c r="U189" s="137"/>
      <c r="V189" s="137"/>
      <c r="W189" s="137"/>
    </row>
    <row r="190" spans="1:23" x14ac:dyDescent="0.2">
      <c r="A190" s="137"/>
      <c r="B190" s="137"/>
      <c r="C190" s="137"/>
      <c r="D190" s="137"/>
      <c r="E190" s="137"/>
      <c r="F190" s="137"/>
      <c r="G190" s="137"/>
      <c r="H190" s="137"/>
      <c r="I190" s="137"/>
      <c r="J190" s="137"/>
      <c r="K190" s="137"/>
      <c r="L190" s="137"/>
      <c r="M190" s="137"/>
      <c r="N190" s="137"/>
      <c r="O190" s="137"/>
      <c r="P190" s="137"/>
      <c r="Q190" s="137"/>
      <c r="R190" s="137"/>
      <c r="S190" s="137"/>
      <c r="T190" s="137"/>
      <c r="U190" s="137"/>
      <c r="V190" s="137"/>
      <c r="W190" s="137"/>
    </row>
    <row r="191" spans="1:23" x14ac:dyDescent="0.2">
      <c r="A191" s="137"/>
      <c r="B191" s="137"/>
      <c r="C191" s="137"/>
      <c r="D191" s="137"/>
      <c r="E191" s="137"/>
      <c r="F191" s="137"/>
      <c r="G191" s="137"/>
      <c r="H191" s="137"/>
      <c r="I191" s="137"/>
      <c r="J191" s="137"/>
      <c r="K191" s="137"/>
      <c r="L191" s="137"/>
      <c r="M191" s="137"/>
      <c r="N191" s="137"/>
      <c r="O191" s="137"/>
      <c r="P191" s="137"/>
      <c r="Q191" s="137"/>
      <c r="R191" s="137"/>
      <c r="S191" s="137"/>
      <c r="T191" s="137"/>
      <c r="U191" s="137"/>
      <c r="V191" s="137"/>
      <c r="W191" s="137"/>
    </row>
    <row r="192" spans="1:23" x14ac:dyDescent="0.2">
      <c r="A192" s="137"/>
      <c r="B192" s="137"/>
      <c r="C192" s="137"/>
      <c r="D192" s="137"/>
      <c r="E192" s="137"/>
      <c r="F192" s="137"/>
      <c r="G192" s="137"/>
      <c r="H192" s="137"/>
      <c r="I192" s="137"/>
      <c r="J192" s="137"/>
      <c r="K192" s="137"/>
      <c r="L192" s="137"/>
      <c r="M192" s="137"/>
      <c r="N192" s="137"/>
      <c r="O192" s="137"/>
      <c r="P192" s="137"/>
      <c r="Q192" s="137"/>
      <c r="R192" s="137"/>
      <c r="S192" s="137"/>
      <c r="T192" s="137"/>
      <c r="U192" s="137"/>
      <c r="V192" s="137"/>
      <c r="W192" s="137"/>
    </row>
    <row r="193" spans="1:23" x14ac:dyDescent="0.2">
      <c r="A193" s="137"/>
      <c r="B193" s="137"/>
      <c r="C193" s="137"/>
      <c r="D193" s="137"/>
      <c r="E193" s="137"/>
      <c r="F193" s="137"/>
      <c r="G193" s="137"/>
      <c r="H193" s="137"/>
      <c r="I193" s="137"/>
      <c r="J193" s="137"/>
      <c r="K193" s="137"/>
      <c r="L193" s="137"/>
      <c r="M193" s="137"/>
      <c r="N193" s="137"/>
      <c r="O193" s="137"/>
      <c r="P193" s="137"/>
      <c r="Q193" s="137"/>
      <c r="R193" s="137"/>
      <c r="S193" s="137"/>
      <c r="T193" s="137"/>
      <c r="U193" s="137"/>
      <c r="V193" s="137"/>
      <c r="W193" s="137"/>
    </row>
    <row r="194" spans="1:23" x14ac:dyDescent="0.2">
      <c r="A194" s="137"/>
      <c r="B194" s="137"/>
      <c r="C194" s="137"/>
      <c r="D194" s="137"/>
      <c r="E194" s="137"/>
      <c r="F194" s="137"/>
      <c r="G194" s="137"/>
      <c r="H194" s="137"/>
      <c r="I194" s="137"/>
      <c r="J194" s="137"/>
      <c r="K194" s="137"/>
      <c r="L194" s="137"/>
      <c r="M194" s="137"/>
      <c r="N194" s="137"/>
      <c r="O194" s="137"/>
      <c r="P194" s="137"/>
      <c r="Q194" s="137"/>
      <c r="R194" s="137"/>
      <c r="S194" s="137"/>
      <c r="T194" s="137"/>
      <c r="U194" s="137"/>
      <c r="V194" s="137"/>
      <c r="W194" s="137"/>
    </row>
    <row r="195" spans="1:23" x14ac:dyDescent="0.2">
      <c r="A195" s="137"/>
      <c r="B195" s="137"/>
      <c r="C195" s="137"/>
      <c r="D195" s="137"/>
      <c r="E195" s="137"/>
      <c r="F195" s="137"/>
      <c r="G195" s="137"/>
      <c r="H195" s="137"/>
      <c r="I195" s="137"/>
      <c r="J195" s="137"/>
      <c r="K195" s="137"/>
      <c r="L195" s="137"/>
      <c r="M195" s="137"/>
      <c r="N195" s="137"/>
      <c r="O195" s="137"/>
      <c r="P195" s="137"/>
      <c r="Q195" s="137"/>
      <c r="R195" s="137"/>
      <c r="S195" s="137"/>
      <c r="T195" s="137"/>
      <c r="U195" s="137"/>
      <c r="V195" s="137"/>
      <c r="W195" s="137"/>
    </row>
    <row r="196" spans="1:23" x14ac:dyDescent="0.2">
      <c r="A196" s="137"/>
      <c r="B196" s="137"/>
      <c r="C196" s="137"/>
      <c r="D196" s="137"/>
      <c r="E196" s="137"/>
      <c r="F196" s="137"/>
      <c r="G196" s="137"/>
      <c r="H196" s="137"/>
      <c r="I196" s="137"/>
      <c r="J196" s="137"/>
      <c r="K196" s="137"/>
      <c r="L196" s="137"/>
      <c r="M196" s="137"/>
      <c r="N196" s="137"/>
      <c r="O196" s="137"/>
      <c r="P196" s="137"/>
      <c r="Q196" s="137"/>
      <c r="R196" s="137"/>
      <c r="S196" s="137"/>
      <c r="T196" s="137"/>
      <c r="U196" s="137"/>
      <c r="V196" s="137"/>
      <c r="W196" s="137"/>
    </row>
    <row r="197" spans="1:23" x14ac:dyDescent="0.2">
      <c r="A197" s="137"/>
      <c r="B197" s="137"/>
      <c r="C197" s="137"/>
      <c r="D197" s="137"/>
      <c r="E197" s="137"/>
      <c r="F197" s="137"/>
      <c r="G197" s="137"/>
      <c r="H197" s="137"/>
      <c r="I197" s="137"/>
      <c r="J197" s="137"/>
      <c r="K197" s="137"/>
      <c r="L197" s="137"/>
      <c r="M197" s="137"/>
      <c r="N197" s="137"/>
      <c r="O197" s="137"/>
      <c r="P197" s="137"/>
      <c r="Q197" s="137"/>
      <c r="R197" s="137"/>
      <c r="S197" s="137"/>
      <c r="T197" s="137"/>
      <c r="U197" s="137"/>
      <c r="V197" s="137"/>
      <c r="W197" s="137"/>
    </row>
    <row r="198" spans="1:23" x14ac:dyDescent="0.2">
      <c r="A198" s="137"/>
      <c r="B198" s="137"/>
      <c r="C198" s="137"/>
      <c r="D198" s="137"/>
      <c r="E198" s="137"/>
      <c r="F198" s="137"/>
      <c r="G198" s="137"/>
      <c r="H198" s="137"/>
      <c r="I198" s="137"/>
      <c r="J198" s="137"/>
      <c r="K198" s="137"/>
      <c r="L198" s="137"/>
      <c r="M198" s="137"/>
      <c r="N198" s="137"/>
      <c r="O198" s="137"/>
      <c r="P198" s="137"/>
      <c r="Q198" s="137"/>
      <c r="R198" s="137"/>
      <c r="S198" s="137"/>
      <c r="T198" s="137"/>
      <c r="U198" s="137"/>
      <c r="V198" s="137"/>
      <c r="W198" s="137"/>
    </row>
    <row r="199" spans="1:23" x14ac:dyDescent="0.2">
      <c r="A199" s="137"/>
      <c r="B199" s="137"/>
      <c r="C199" s="137"/>
      <c r="D199" s="137"/>
      <c r="E199" s="137"/>
      <c r="F199" s="137"/>
      <c r="G199" s="137"/>
      <c r="H199" s="137"/>
      <c r="I199" s="137"/>
      <c r="J199" s="137"/>
      <c r="K199" s="137"/>
      <c r="L199" s="137"/>
      <c r="M199" s="137"/>
      <c r="N199" s="137"/>
      <c r="O199" s="137"/>
      <c r="P199" s="137"/>
      <c r="Q199" s="137"/>
      <c r="R199" s="137"/>
      <c r="S199" s="137"/>
      <c r="T199" s="137"/>
      <c r="U199" s="137"/>
      <c r="V199" s="137"/>
      <c r="W199" s="137"/>
    </row>
    <row r="200" spans="1:23" x14ac:dyDescent="0.2">
      <c r="A200" s="137"/>
      <c r="B200" s="137"/>
      <c r="C200" s="137"/>
      <c r="D200" s="137"/>
      <c r="E200" s="137"/>
      <c r="F200" s="137"/>
      <c r="G200" s="137"/>
      <c r="H200" s="137"/>
      <c r="I200" s="137"/>
      <c r="J200" s="137"/>
      <c r="K200" s="137"/>
      <c r="L200" s="137"/>
      <c r="M200" s="137"/>
      <c r="N200" s="137"/>
      <c r="O200" s="137"/>
      <c r="P200" s="137"/>
      <c r="Q200" s="137"/>
      <c r="R200" s="137"/>
      <c r="S200" s="137"/>
      <c r="T200" s="137"/>
      <c r="U200" s="137"/>
      <c r="V200" s="137"/>
      <c r="W200" s="137"/>
    </row>
    <row r="201" spans="1:23" x14ac:dyDescent="0.2">
      <c r="A201" s="137"/>
      <c r="B201" s="137"/>
      <c r="C201" s="137"/>
      <c r="D201" s="137"/>
      <c r="E201" s="137"/>
      <c r="F201" s="137"/>
      <c r="G201" s="137"/>
      <c r="H201" s="137"/>
      <c r="I201" s="137"/>
      <c r="J201" s="137"/>
      <c r="K201" s="137"/>
      <c r="L201" s="137"/>
      <c r="M201" s="137"/>
      <c r="N201" s="137"/>
      <c r="O201" s="137"/>
      <c r="P201" s="137"/>
      <c r="Q201" s="137"/>
      <c r="R201" s="137"/>
      <c r="S201" s="137"/>
      <c r="T201" s="137"/>
      <c r="U201" s="137"/>
      <c r="V201" s="137"/>
      <c r="W201" s="137"/>
    </row>
    <row r="202" spans="1:23" x14ac:dyDescent="0.2">
      <c r="A202" s="137"/>
      <c r="B202" s="137"/>
      <c r="C202" s="137"/>
      <c r="D202" s="137"/>
      <c r="E202" s="137"/>
      <c r="F202" s="137"/>
      <c r="G202" s="137"/>
      <c r="H202" s="137"/>
      <c r="I202" s="137"/>
      <c r="J202" s="137"/>
      <c r="K202" s="137"/>
      <c r="L202" s="137"/>
      <c r="M202" s="137"/>
      <c r="N202" s="137"/>
      <c r="O202" s="137"/>
      <c r="P202" s="137"/>
      <c r="Q202" s="137"/>
      <c r="R202" s="137"/>
      <c r="S202" s="137"/>
      <c r="T202" s="137"/>
      <c r="U202" s="137"/>
      <c r="V202" s="137"/>
      <c r="W202" s="137"/>
    </row>
    <row r="203" spans="1:23" x14ac:dyDescent="0.2">
      <c r="A203" s="137"/>
      <c r="B203" s="137"/>
      <c r="C203" s="137"/>
      <c r="D203" s="137"/>
      <c r="E203" s="137"/>
      <c r="F203" s="137"/>
      <c r="G203" s="137"/>
      <c r="H203" s="137"/>
      <c r="I203" s="137"/>
      <c r="J203" s="137"/>
      <c r="K203" s="137"/>
      <c r="L203" s="137"/>
      <c r="M203" s="137"/>
      <c r="N203" s="137"/>
      <c r="O203" s="137"/>
      <c r="P203" s="137"/>
      <c r="Q203" s="137"/>
      <c r="R203" s="137"/>
      <c r="S203" s="137"/>
      <c r="T203" s="137"/>
      <c r="U203" s="137"/>
      <c r="V203" s="137"/>
      <c r="W203" s="137"/>
    </row>
    <row r="204" spans="1:23" x14ac:dyDescent="0.2">
      <c r="A204" s="137"/>
      <c r="B204" s="137"/>
      <c r="C204" s="137"/>
      <c r="D204" s="137"/>
      <c r="E204" s="137"/>
      <c r="F204" s="137"/>
      <c r="G204" s="137"/>
      <c r="H204" s="137"/>
      <c r="I204" s="137"/>
      <c r="J204" s="137"/>
      <c r="K204" s="137"/>
      <c r="L204" s="137"/>
      <c r="M204" s="137"/>
      <c r="N204" s="137"/>
      <c r="O204" s="137"/>
      <c r="P204" s="137"/>
      <c r="Q204" s="137"/>
      <c r="R204" s="137"/>
      <c r="S204" s="137"/>
      <c r="T204" s="137"/>
      <c r="U204" s="137"/>
      <c r="V204" s="137"/>
      <c r="W204" s="137"/>
    </row>
    <row r="205" spans="1:23" x14ac:dyDescent="0.2">
      <c r="A205" s="137"/>
      <c r="B205" s="137"/>
      <c r="C205" s="137"/>
      <c r="D205" s="137"/>
      <c r="E205" s="137"/>
      <c r="F205" s="137"/>
      <c r="G205" s="137"/>
      <c r="H205" s="137"/>
      <c r="I205" s="137"/>
      <c r="J205" s="137"/>
      <c r="K205" s="137"/>
      <c r="L205" s="137"/>
      <c r="M205" s="137"/>
      <c r="N205" s="137"/>
      <c r="O205" s="137"/>
      <c r="P205" s="137"/>
      <c r="Q205" s="137"/>
      <c r="R205" s="137"/>
      <c r="S205" s="137"/>
      <c r="T205" s="137"/>
      <c r="U205" s="137"/>
      <c r="V205" s="137"/>
      <c r="W205" s="137"/>
    </row>
    <row r="206" spans="1:23" x14ac:dyDescent="0.2">
      <c r="A206" s="137"/>
      <c r="B206" s="137"/>
      <c r="C206" s="137"/>
      <c r="D206" s="137"/>
      <c r="E206" s="137"/>
      <c r="F206" s="137"/>
      <c r="G206" s="137"/>
      <c r="H206" s="137"/>
      <c r="I206" s="137"/>
      <c r="J206" s="137"/>
      <c r="K206" s="137"/>
      <c r="L206" s="137"/>
      <c r="M206" s="137"/>
      <c r="N206" s="137"/>
      <c r="O206" s="137"/>
      <c r="P206" s="137"/>
      <c r="Q206" s="137"/>
      <c r="R206" s="137"/>
      <c r="S206" s="137"/>
      <c r="T206" s="137"/>
      <c r="U206" s="137"/>
      <c r="V206" s="137"/>
      <c r="W206" s="137"/>
    </row>
    <row r="207" spans="1:23" x14ac:dyDescent="0.2">
      <c r="A207" s="137"/>
      <c r="B207" s="137"/>
      <c r="C207" s="137"/>
      <c r="D207" s="137"/>
      <c r="E207" s="137"/>
      <c r="F207" s="137"/>
      <c r="G207" s="137"/>
      <c r="H207" s="137"/>
      <c r="I207" s="137"/>
      <c r="J207" s="137"/>
      <c r="K207" s="137"/>
      <c r="L207" s="137"/>
      <c r="M207" s="137"/>
      <c r="N207" s="137"/>
      <c r="O207" s="137"/>
      <c r="P207" s="137"/>
      <c r="Q207" s="137"/>
      <c r="R207" s="137"/>
      <c r="S207" s="137"/>
      <c r="T207" s="137"/>
      <c r="U207" s="137"/>
      <c r="V207" s="137"/>
      <c r="W207" s="137"/>
    </row>
    <row r="208" spans="1:23" x14ac:dyDescent="0.2">
      <c r="A208" s="137"/>
      <c r="B208" s="137"/>
      <c r="C208" s="137"/>
      <c r="D208" s="137"/>
      <c r="E208" s="137"/>
      <c r="F208" s="137"/>
      <c r="G208" s="137"/>
      <c r="H208" s="137"/>
      <c r="I208" s="137"/>
      <c r="J208" s="137"/>
      <c r="K208" s="137"/>
      <c r="L208" s="137"/>
      <c r="M208" s="137"/>
      <c r="N208" s="137"/>
      <c r="O208" s="137"/>
      <c r="P208" s="137"/>
      <c r="Q208" s="137"/>
      <c r="R208" s="137"/>
      <c r="S208" s="137"/>
      <c r="T208" s="137"/>
      <c r="U208" s="137"/>
      <c r="V208" s="137"/>
      <c r="W208" s="137"/>
    </row>
    <row r="209" spans="1:23" x14ac:dyDescent="0.2">
      <c r="A209" s="137"/>
      <c r="B209" s="137"/>
      <c r="C209" s="137"/>
      <c r="D209" s="137"/>
      <c r="E209" s="137"/>
      <c r="F209" s="137"/>
      <c r="G209" s="137"/>
      <c r="H209" s="137"/>
      <c r="I209" s="137"/>
      <c r="J209" s="137"/>
      <c r="K209" s="137"/>
      <c r="L209" s="137"/>
      <c r="M209" s="137"/>
      <c r="N209" s="137"/>
      <c r="O209" s="137"/>
      <c r="P209" s="137"/>
      <c r="Q209" s="137"/>
      <c r="R209" s="137"/>
      <c r="S209" s="137"/>
      <c r="T209" s="137"/>
      <c r="U209" s="137"/>
      <c r="V209" s="137"/>
      <c r="W209" s="137"/>
    </row>
    <row r="210" spans="1:23" x14ac:dyDescent="0.2">
      <c r="A210" s="137"/>
      <c r="B210" s="137"/>
      <c r="C210" s="137"/>
      <c r="D210" s="137"/>
      <c r="E210" s="137"/>
      <c r="F210" s="137"/>
      <c r="G210" s="137"/>
      <c r="H210" s="137"/>
      <c r="I210" s="137"/>
      <c r="J210" s="137"/>
      <c r="K210" s="137"/>
      <c r="L210" s="137"/>
      <c r="M210" s="137"/>
      <c r="N210" s="137"/>
      <c r="O210" s="137"/>
      <c r="P210" s="137"/>
      <c r="Q210" s="137"/>
      <c r="R210" s="137"/>
      <c r="S210" s="137"/>
      <c r="T210" s="137"/>
      <c r="U210" s="137"/>
      <c r="V210" s="137"/>
      <c r="W210" s="137"/>
    </row>
    <row r="211" spans="1:23" x14ac:dyDescent="0.2">
      <c r="A211" s="137"/>
      <c r="B211" s="137"/>
      <c r="C211" s="137"/>
      <c r="D211" s="137"/>
      <c r="E211" s="137"/>
      <c r="F211" s="137"/>
      <c r="G211" s="137"/>
      <c r="H211" s="137"/>
      <c r="I211" s="137"/>
      <c r="J211" s="137"/>
      <c r="K211" s="137"/>
      <c r="L211" s="137"/>
      <c r="M211" s="137"/>
      <c r="N211" s="137"/>
      <c r="O211" s="137"/>
      <c r="P211" s="137"/>
      <c r="Q211" s="137"/>
      <c r="R211" s="137"/>
      <c r="S211" s="137"/>
      <c r="T211" s="137"/>
      <c r="U211" s="137"/>
      <c r="V211" s="137"/>
      <c r="W211" s="137"/>
    </row>
    <row r="212" spans="1:23" x14ac:dyDescent="0.2">
      <c r="A212" s="137"/>
      <c r="B212" s="137"/>
      <c r="C212" s="137"/>
      <c r="D212" s="137"/>
      <c r="E212" s="137"/>
      <c r="F212" s="137"/>
      <c r="G212" s="137"/>
      <c r="H212" s="137"/>
      <c r="I212" s="137"/>
      <c r="J212" s="137"/>
      <c r="K212" s="137"/>
      <c r="L212" s="137"/>
      <c r="M212" s="137"/>
      <c r="N212" s="137"/>
      <c r="O212" s="137"/>
      <c r="P212" s="137"/>
      <c r="Q212" s="137"/>
      <c r="R212" s="137"/>
      <c r="S212" s="137"/>
      <c r="T212" s="137"/>
      <c r="U212" s="137"/>
      <c r="V212" s="137"/>
      <c r="W212" s="137"/>
    </row>
    <row r="213" spans="1:23" x14ac:dyDescent="0.2">
      <c r="A213" s="137"/>
      <c r="B213" s="137"/>
      <c r="C213" s="137"/>
      <c r="D213" s="137"/>
      <c r="E213" s="137"/>
      <c r="F213" s="137"/>
      <c r="G213" s="137"/>
      <c r="H213" s="137"/>
      <c r="I213" s="137"/>
      <c r="J213" s="137"/>
      <c r="K213" s="137"/>
      <c r="L213" s="137"/>
      <c r="M213" s="137"/>
      <c r="N213" s="137"/>
      <c r="O213" s="137"/>
      <c r="P213" s="137"/>
      <c r="Q213" s="137"/>
      <c r="R213" s="137"/>
      <c r="S213" s="137"/>
      <c r="T213" s="137"/>
      <c r="U213" s="137"/>
      <c r="V213" s="137"/>
      <c r="W213" s="137"/>
    </row>
    <row r="214" spans="1:23" x14ac:dyDescent="0.2">
      <c r="A214" s="137"/>
      <c r="B214" s="137"/>
      <c r="C214" s="137"/>
      <c r="D214" s="137"/>
      <c r="E214" s="137"/>
      <c r="F214" s="137"/>
      <c r="G214" s="137"/>
      <c r="H214" s="137"/>
      <c r="I214" s="137"/>
      <c r="J214" s="137"/>
      <c r="K214" s="137"/>
      <c r="L214" s="137"/>
      <c r="M214" s="137"/>
      <c r="N214" s="137"/>
      <c r="O214" s="137"/>
      <c r="P214" s="137"/>
      <c r="Q214" s="137"/>
      <c r="R214" s="137"/>
      <c r="S214" s="137"/>
      <c r="T214" s="137"/>
      <c r="U214" s="137"/>
      <c r="V214" s="137"/>
      <c r="W214" s="137"/>
    </row>
    <row r="215" spans="1:23" x14ac:dyDescent="0.2">
      <c r="A215" s="137"/>
      <c r="B215" s="137"/>
      <c r="C215" s="137"/>
      <c r="D215" s="137"/>
      <c r="E215" s="137"/>
      <c r="F215" s="137"/>
      <c r="G215" s="137"/>
      <c r="H215" s="137"/>
      <c r="I215" s="137"/>
      <c r="J215" s="137"/>
      <c r="K215" s="137"/>
      <c r="L215" s="137"/>
      <c r="M215" s="137"/>
      <c r="N215" s="137"/>
      <c r="O215" s="137"/>
      <c r="P215" s="137"/>
      <c r="Q215" s="137"/>
      <c r="R215" s="137"/>
      <c r="S215" s="137"/>
      <c r="T215" s="137"/>
      <c r="U215" s="137"/>
      <c r="V215" s="137"/>
      <c r="W215" s="137"/>
    </row>
    <row r="216" spans="1:23" x14ac:dyDescent="0.2">
      <c r="A216" s="137"/>
      <c r="B216" s="137"/>
      <c r="C216" s="137"/>
      <c r="D216" s="137"/>
      <c r="E216" s="137"/>
      <c r="F216" s="137"/>
      <c r="G216" s="137"/>
      <c r="H216" s="137"/>
      <c r="I216" s="137"/>
      <c r="J216" s="137"/>
      <c r="K216" s="137"/>
      <c r="L216" s="137"/>
      <c r="M216" s="137"/>
      <c r="N216" s="137"/>
      <c r="O216" s="137"/>
      <c r="P216" s="137"/>
      <c r="Q216" s="137"/>
      <c r="R216" s="137"/>
      <c r="S216" s="137"/>
      <c r="T216" s="137"/>
      <c r="U216" s="137"/>
      <c r="V216" s="137"/>
      <c r="W216" s="137"/>
    </row>
    <row r="217" spans="1:23" x14ac:dyDescent="0.2">
      <c r="A217" s="137"/>
      <c r="B217" s="137"/>
      <c r="C217" s="137"/>
      <c r="D217" s="137"/>
      <c r="E217" s="137"/>
      <c r="F217" s="137"/>
      <c r="G217" s="137"/>
      <c r="H217" s="137"/>
      <c r="I217" s="137"/>
      <c r="J217" s="137"/>
      <c r="K217" s="137"/>
      <c r="L217" s="137"/>
      <c r="M217" s="137"/>
      <c r="N217" s="137"/>
      <c r="O217" s="137"/>
      <c r="P217" s="137"/>
      <c r="Q217" s="137"/>
      <c r="R217" s="137"/>
      <c r="S217" s="137"/>
      <c r="T217" s="137"/>
      <c r="U217" s="137"/>
      <c r="V217" s="137"/>
      <c r="W217" s="137"/>
    </row>
    <row r="218" spans="1:23" x14ac:dyDescent="0.2">
      <c r="A218" s="137"/>
      <c r="B218" s="137"/>
      <c r="C218" s="137"/>
      <c r="D218" s="137"/>
      <c r="E218" s="137"/>
      <c r="F218" s="137"/>
      <c r="G218" s="137"/>
      <c r="H218" s="137"/>
      <c r="I218" s="137"/>
      <c r="J218" s="137"/>
      <c r="K218" s="137"/>
      <c r="L218" s="137"/>
      <c r="M218" s="137"/>
      <c r="N218" s="137"/>
      <c r="O218" s="137"/>
      <c r="P218" s="137"/>
      <c r="Q218" s="137"/>
      <c r="R218" s="137"/>
      <c r="S218" s="137"/>
      <c r="T218" s="137"/>
      <c r="U218" s="137"/>
      <c r="V218" s="137"/>
      <c r="W218" s="137"/>
    </row>
    <row r="219" spans="1:23" x14ac:dyDescent="0.2">
      <c r="A219" s="137"/>
      <c r="B219" s="137"/>
      <c r="C219" s="137"/>
      <c r="D219" s="137"/>
      <c r="E219" s="137"/>
      <c r="F219" s="137"/>
      <c r="G219" s="137"/>
      <c r="H219" s="137"/>
      <c r="I219" s="137"/>
      <c r="J219" s="137"/>
      <c r="K219" s="137"/>
      <c r="L219" s="137"/>
      <c r="M219" s="137"/>
      <c r="N219" s="137"/>
      <c r="O219" s="137"/>
      <c r="P219" s="137"/>
      <c r="Q219" s="137"/>
      <c r="R219" s="137"/>
      <c r="S219" s="137"/>
      <c r="T219" s="137"/>
      <c r="U219" s="137"/>
      <c r="V219" s="137"/>
      <c r="W219" s="137"/>
    </row>
    <row r="220" spans="1:23" x14ac:dyDescent="0.2">
      <c r="A220" s="137"/>
      <c r="B220" s="137"/>
      <c r="C220" s="137"/>
      <c r="D220" s="137"/>
      <c r="E220" s="137"/>
      <c r="F220" s="137"/>
      <c r="G220" s="137"/>
      <c r="H220" s="137"/>
      <c r="I220" s="137"/>
      <c r="J220" s="137"/>
      <c r="K220" s="137"/>
      <c r="L220" s="137"/>
      <c r="M220" s="137"/>
      <c r="N220" s="137"/>
      <c r="O220" s="137"/>
      <c r="P220" s="137"/>
      <c r="Q220" s="137"/>
      <c r="R220" s="137"/>
      <c r="S220" s="137"/>
      <c r="T220" s="137"/>
      <c r="U220" s="137"/>
      <c r="V220" s="137"/>
      <c r="W220" s="137"/>
    </row>
    <row r="221" spans="1:23" x14ac:dyDescent="0.2">
      <c r="A221" s="137"/>
      <c r="B221" s="137"/>
      <c r="C221" s="137"/>
      <c r="D221" s="137"/>
      <c r="E221" s="137"/>
      <c r="F221" s="137"/>
      <c r="G221" s="137"/>
      <c r="H221" s="137"/>
      <c r="I221" s="137"/>
      <c r="J221" s="137"/>
      <c r="K221" s="137"/>
      <c r="L221" s="137"/>
      <c r="M221" s="137"/>
      <c r="N221" s="137"/>
      <c r="O221" s="137"/>
      <c r="P221" s="137"/>
      <c r="Q221" s="137"/>
      <c r="R221" s="137"/>
      <c r="S221" s="137"/>
      <c r="T221" s="137"/>
      <c r="U221" s="137"/>
      <c r="V221" s="137"/>
      <c r="W221" s="137"/>
    </row>
    <row r="222" spans="1:23" x14ac:dyDescent="0.2">
      <c r="A222" s="137"/>
      <c r="B222" s="137"/>
      <c r="C222" s="137"/>
      <c r="D222" s="137"/>
      <c r="E222" s="137"/>
      <c r="F222" s="137"/>
      <c r="G222" s="137"/>
      <c r="H222" s="137"/>
      <c r="I222" s="137"/>
      <c r="J222" s="137"/>
      <c r="K222" s="137"/>
      <c r="L222" s="137"/>
      <c r="M222" s="137"/>
      <c r="N222" s="137"/>
      <c r="O222" s="137"/>
      <c r="P222" s="137"/>
      <c r="Q222" s="137"/>
      <c r="R222" s="137"/>
      <c r="S222" s="137"/>
      <c r="T222" s="137"/>
      <c r="U222" s="137"/>
      <c r="V222" s="137"/>
      <c r="W222" s="137"/>
    </row>
    <row r="223" spans="1:23" x14ac:dyDescent="0.2">
      <c r="A223" s="137"/>
      <c r="B223" s="137"/>
      <c r="C223" s="137"/>
      <c r="D223" s="137"/>
      <c r="E223" s="137"/>
      <c r="F223" s="137"/>
      <c r="G223" s="137"/>
      <c r="H223" s="137"/>
      <c r="I223" s="137"/>
      <c r="J223" s="137"/>
      <c r="K223" s="137"/>
      <c r="L223" s="137"/>
      <c r="M223" s="137"/>
      <c r="N223" s="137"/>
      <c r="O223" s="137"/>
      <c r="P223" s="137"/>
      <c r="Q223" s="137"/>
      <c r="R223" s="137"/>
      <c r="S223" s="137"/>
      <c r="T223" s="137"/>
      <c r="U223" s="137"/>
      <c r="V223" s="137"/>
      <c r="W223" s="137"/>
    </row>
    <row r="224" spans="1:23" x14ac:dyDescent="0.2">
      <c r="A224" s="137"/>
      <c r="B224" s="137"/>
      <c r="C224" s="137"/>
      <c r="D224" s="137"/>
      <c r="E224" s="137"/>
      <c r="F224" s="137"/>
      <c r="G224" s="137"/>
      <c r="H224" s="137"/>
      <c r="I224" s="137"/>
      <c r="J224" s="137"/>
      <c r="K224" s="137"/>
      <c r="L224" s="137"/>
      <c r="M224" s="137"/>
      <c r="N224" s="137"/>
      <c r="O224" s="137"/>
      <c r="P224" s="137"/>
      <c r="Q224" s="137"/>
      <c r="R224" s="137"/>
      <c r="S224" s="137"/>
      <c r="T224" s="137"/>
      <c r="U224" s="137"/>
      <c r="V224" s="137"/>
      <c r="W224" s="137"/>
    </row>
    <row r="225" spans="1:23" x14ac:dyDescent="0.2">
      <c r="A225" s="137"/>
      <c r="B225" s="137"/>
      <c r="C225" s="137"/>
      <c r="D225" s="137"/>
      <c r="E225" s="137"/>
      <c r="F225" s="137"/>
      <c r="G225" s="137"/>
      <c r="H225" s="137"/>
      <c r="I225" s="137"/>
      <c r="J225" s="137"/>
      <c r="K225" s="137"/>
      <c r="L225" s="137"/>
      <c r="M225" s="137"/>
      <c r="N225" s="137"/>
      <c r="O225" s="137"/>
      <c r="P225" s="137"/>
      <c r="Q225" s="137"/>
      <c r="R225" s="137"/>
      <c r="S225" s="137"/>
      <c r="T225" s="137"/>
      <c r="U225" s="137"/>
      <c r="V225" s="137"/>
      <c r="W225" s="137"/>
    </row>
    <row r="226" spans="1:23" x14ac:dyDescent="0.2">
      <c r="A226" s="137"/>
      <c r="B226" s="137"/>
      <c r="C226" s="137"/>
      <c r="D226" s="137"/>
      <c r="E226" s="137"/>
      <c r="F226" s="137"/>
      <c r="G226" s="137"/>
      <c r="H226" s="137"/>
      <c r="I226" s="137"/>
      <c r="J226" s="137"/>
      <c r="K226" s="137"/>
      <c r="L226" s="137"/>
      <c r="M226" s="137"/>
      <c r="N226" s="137"/>
      <c r="O226" s="137"/>
      <c r="P226" s="137"/>
      <c r="Q226" s="137"/>
      <c r="R226" s="137"/>
      <c r="S226" s="137"/>
      <c r="T226" s="137"/>
      <c r="U226" s="137"/>
      <c r="V226" s="137"/>
      <c r="W226" s="137"/>
    </row>
    <row r="227" spans="1:23" x14ac:dyDescent="0.2">
      <c r="A227" s="137"/>
      <c r="B227" s="137"/>
      <c r="C227" s="137"/>
      <c r="D227" s="137"/>
      <c r="E227" s="137"/>
      <c r="F227" s="137"/>
      <c r="G227" s="137"/>
      <c r="H227" s="137"/>
      <c r="I227" s="137"/>
      <c r="J227" s="137"/>
      <c r="K227" s="137"/>
      <c r="L227" s="137"/>
      <c r="M227" s="137"/>
      <c r="N227" s="137"/>
      <c r="O227" s="137"/>
      <c r="P227" s="137"/>
      <c r="Q227" s="137"/>
      <c r="R227" s="137"/>
      <c r="S227" s="137"/>
      <c r="T227" s="137"/>
      <c r="U227" s="137"/>
      <c r="V227" s="137"/>
      <c r="W227" s="137"/>
    </row>
    <row r="228" spans="1:23" x14ac:dyDescent="0.2">
      <c r="A228" s="137"/>
      <c r="B228" s="137"/>
      <c r="C228" s="137"/>
      <c r="D228" s="137"/>
      <c r="E228" s="137"/>
      <c r="F228" s="137"/>
      <c r="G228" s="137"/>
      <c r="H228" s="137"/>
      <c r="I228" s="137"/>
      <c r="J228" s="137"/>
      <c r="K228" s="137"/>
      <c r="L228" s="137"/>
      <c r="M228" s="137"/>
      <c r="N228" s="137"/>
      <c r="O228" s="137"/>
      <c r="P228" s="137"/>
      <c r="Q228" s="137"/>
      <c r="R228" s="137"/>
      <c r="S228" s="137"/>
      <c r="T228" s="137"/>
      <c r="U228" s="137"/>
      <c r="V228" s="137"/>
      <c r="W228" s="137"/>
    </row>
    <row r="229" spans="1:23" x14ac:dyDescent="0.2">
      <c r="A229" s="137"/>
      <c r="B229" s="137"/>
      <c r="C229" s="137"/>
      <c r="D229" s="137"/>
      <c r="E229" s="137"/>
      <c r="F229" s="137"/>
      <c r="G229" s="137"/>
      <c r="H229" s="137"/>
      <c r="I229" s="137"/>
      <c r="J229" s="137"/>
      <c r="K229" s="137"/>
      <c r="L229" s="137"/>
      <c r="M229" s="137"/>
      <c r="N229" s="137"/>
      <c r="O229" s="137"/>
      <c r="P229" s="137"/>
      <c r="Q229" s="137"/>
      <c r="R229" s="137"/>
      <c r="S229" s="137"/>
      <c r="T229" s="137"/>
      <c r="U229" s="137"/>
      <c r="V229" s="137"/>
      <c r="W229" s="137"/>
    </row>
    <row r="230" spans="1:23" x14ac:dyDescent="0.2">
      <c r="A230" s="137"/>
      <c r="B230" s="137"/>
      <c r="C230" s="137"/>
      <c r="D230" s="137"/>
      <c r="E230" s="137"/>
      <c r="F230" s="137"/>
      <c r="G230" s="137"/>
      <c r="H230" s="137"/>
      <c r="I230" s="137"/>
      <c r="J230" s="137"/>
      <c r="K230" s="137"/>
      <c r="L230" s="137"/>
      <c r="M230" s="137"/>
      <c r="N230" s="137"/>
      <c r="O230" s="137"/>
      <c r="P230" s="137"/>
      <c r="Q230" s="137"/>
      <c r="R230" s="137"/>
      <c r="S230" s="137"/>
      <c r="T230" s="137"/>
      <c r="U230" s="137"/>
      <c r="V230" s="137"/>
      <c r="W230" s="137"/>
    </row>
    <row r="231" spans="1:23" x14ac:dyDescent="0.2">
      <c r="A231" s="137"/>
      <c r="B231" s="137"/>
      <c r="C231" s="137"/>
      <c r="D231" s="137"/>
      <c r="E231" s="137"/>
      <c r="F231" s="137"/>
      <c r="G231" s="137"/>
      <c r="H231" s="137"/>
      <c r="I231" s="137"/>
      <c r="J231" s="137"/>
      <c r="K231" s="137"/>
      <c r="L231" s="137"/>
      <c r="M231" s="137"/>
      <c r="N231" s="137"/>
      <c r="O231" s="137"/>
      <c r="P231" s="137"/>
      <c r="Q231" s="137"/>
      <c r="R231" s="137"/>
      <c r="S231" s="137"/>
      <c r="T231" s="137"/>
      <c r="U231" s="137"/>
      <c r="V231" s="137"/>
      <c r="W231" s="137"/>
    </row>
    <row r="232" spans="1:23" x14ac:dyDescent="0.2">
      <c r="A232" s="137"/>
      <c r="B232" s="137"/>
      <c r="C232" s="137"/>
      <c r="D232" s="137"/>
      <c r="E232" s="137"/>
      <c r="F232" s="137"/>
      <c r="G232" s="137"/>
      <c r="H232" s="137"/>
      <c r="I232" s="137"/>
      <c r="J232" s="137"/>
      <c r="K232" s="137"/>
      <c r="L232" s="137"/>
      <c r="M232" s="137"/>
      <c r="N232" s="137"/>
      <c r="O232" s="137"/>
      <c r="P232" s="137"/>
      <c r="Q232" s="137"/>
      <c r="R232" s="137"/>
      <c r="S232" s="137"/>
      <c r="T232" s="137"/>
      <c r="U232" s="137"/>
      <c r="V232" s="137"/>
      <c r="W232" s="137"/>
    </row>
    <row r="233" spans="1:23" x14ac:dyDescent="0.2">
      <c r="A233" s="137"/>
      <c r="B233" s="137"/>
      <c r="C233" s="137"/>
      <c r="D233" s="137"/>
      <c r="E233" s="137"/>
      <c r="F233" s="137"/>
      <c r="G233" s="137"/>
      <c r="H233" s="137"/>
      <c r="I233" s="137"/>
      <c r="J233" s="137"/>
      <c r="K233" s="137"/>
      <c r="L233" s="137"/>
      <c r="M233" s="137"/>
      <c r="N233" s="137"/>
      <c r="O233" s="137"/>
      <c r="P233" s="137"/>
      <c r="Q233" s="137"/>
      <c r="R233" s="137"/>
      <c r="S233" s="137"/>
      <c r="T233" s="137"/>
      <c r="U233" s="137"/>
      <c r="V233" s="137"/>
      <c r="W233" s="137"/>
    </row>
    <row r="234" spans="1:23" x14ac:dyDescent="0.2">
      <c r="A234" s="137"/>
      <c r="B234" s="137"/>
      <c r="C234" s="137"/>
      <c r="D234" s="137"/>
      <c r="E234" s="137"/>
      <c r="F234" s="137"/>
      <c r="G234" s="137"/>
      <c r="H234" s="137"/>
      <c r="I234" s="137"/>
      <c r="J234" s="137"/>
      <c r="K234" s="137"/>
      <c r="L234" s="137"/>
      <c r="M234" s="137"/>
      <c r="N234" s="137"/>
      <c r="O234" s="137"/>
      <c r="P234" s="137"/>
      <c r="Q234" s="137"/>
      <c r="R234" s="137"/>
      <c r="S234" s="137"/>
      <c r="T234" s="137"/>
      <c r="U234" s="137"/>
      <c r="V234" s="137"/>
      <c r="W234" s="137"/>
    </row>
    <row r="235" spans="1:23" x14ac:dyDescent="0.2">
      <c r="A235" s="137"/>
      <c r="B235" s="137"/>
      <c r="C235" s="137"/>
      <c r="D235" s="137"/>
      <c r="E235" s="137"/>
      <c r="F235" s="137"/>
      <c r="G235" s="137"/>
      <c r="H235" s="137"/>
      <c r="I235" s="137"/>
      <c r="J235" s="137"/>
      <c r="K235" s="137"/>
      <c r="L235" s="137"/>
      <c r="M235" s="137"/>
      <c r="N235" s="137"/>
      <c r="O235" s="137"/>
      <c r="P235" s="137"/>
      <c r="Q235" s="137"/>
      <c r="R235" s="137"/>
      <c r="S235" s="137"/>
      <c r="T235" s="137"/>
      <c r="U235" s="137"/>
      <c r="V235" s="137"/>
      <c r="W235" s="137"/>
    </row>
    <row r="236" spans="1:23" x14ac:dyDescent="0.2">
      <c r="A236" s="137"/>
      <c r="B236" s="137"/>
      <c r="C236" s="137"/>
      <c r="D236" s="137"/>
      <c r="E236" s="137"/>
      <c r="F236" s="137"/>
      <c r="G236" s="137"/>
      <c r="H236" s="137"/>
      <c r="I236" s="137"/>
      <c r="J236" s="137"/>
      <c r="K236" s="137"/>
      <c r="L236" s="137"/>
      <c r="M236" s="137"/>
      <c r="N236" s="137"/>
      <c r="O236" s="137"/>
      <c r="P236" s="137"/>
      <c r="Q236" s="137"/>
      <c r="R236" s="137"/>
      <c r="S236" s="137"/>
      <c r="T236" s="137"/>
      <c r="U236" s="137"/>
      <c r="V236" s="137"/>
      <c r="W236" s="137"/>
    </row>
    <row r="237" spans="1:23" x14ac:dyDescent="0.2">
      <c r="A237" s="137"/>
      <c r="B237" s="137"/>
      <c r="C237" s="137"/>
      <c r="D237" s="137"/>
      <c r="E237" s="137"/>
      <c r="F237" s="137"/>
      <c r="G237" s="137"/>
      <c r="H237" s="137"/>
      <c r="I237" s="137"/>
      <c r="J237" s="137"/>
      <c r="K237" s="137"/>
      <c r="L237" s="137"/>
      <c r="M237" s="137"/>
      <c r="N237" s="137"/>
      <c r="O237" s="137"/>
      <c r="P237" s="137"/>
      <c r="Q237" s="137"/>
      <c r="R237" s="137"/>
      <c r="S237" s="137"/>
      <c r="T237" s="137"/>
      <c r="U237" s="137"/>
      <c r="V237" s="137"/>
      <c r="W237" s="137"/>
    </row>
    <row r="238" spans="1:23" x14ac:dyDescent="0.2">
      <c r="A238" s="137"/>
      <c r="B238" s="137"/>
      <c r="C238" s="137"/>
      <c r="D238" s="137"/>
      <c r="E238" s="137"/>
      <c r="F238" s="137"/>
      <c r="G238" s="137"/>
      <c r="H238" s="137"/>
      <c r="I238" s="137"/>
      <c r="J238" s="137"/>
      <c r="K238" s="137"/>
      <c r="L238" s="137"/>
      <c r="M238" s="137"/>
      <c r="N238" s="137"/>
      <c r="O238" s="137"/>
      <c r="P238" s="137"/>
      <c r="Q238" s="137"/>
      <c r="R238" s="137"/>
      <c r="S238" s="137"/>
      <c r="T238" s="137"/>
      <c r="U238" s="137"/>
      <c r="V238" s="137"/>
      <c r="W238" s="137"/>
    </row>
    <row r="239" spans="1:23" x14ac:dyDescent="0.2">
      <c r="A239" s="137"/>
      <c r="B239" s="137"/>
      <c r="C239" s="137"/>
      <c r="D239" s="137"/>
      <c r="E239" s="137"/>
      <c r="F239" s="137"/>
      <c r="G239" s="137"/>
      <c r="H239" s="137"/>
      <c r="I239" s="137"/>
      <c r="J239" s="137"/>
      <c r="K239" s="137"/>
      <c r="L239" s="137"/>
      <c r="M239" s="137"/>
      <c r="N239" s="137"/>
      <c r="O239" s="137"/>
      <c r="P239" s="137"/>
      <c r="Q239" s="137"/>
      <c r="R239" s="137"/>
      <c r="S239" s="137"/>
      <c r="T239" s="137"/>
      <c r="U239" s="137"/>
      <c r="V239" s="137"/>
      <c r="W239" s="137"/>
    </row>
    <row r="240" spans="1:23" x14ac:dyDescent="0.2">
      <c r="A240" s="137"/>
      <c r="B240" s="137"/>
      <c r="C240" s="137"/>
      <c r="D240" s="137"/>
      <c r="E240" s="137"/>
      <c r="F240" s="137"/>
      <c r="G240" s="137"/>
      <c r="H240" s="137"/>
      <c r="I240" s="137"/>
      <c r="J240" s="137"/>
      <c r="K240" s="137"/>
      <c r="L240" s="137"/>
      <c r="M240" s="137"/>
      <c r="N240" s="137"/>
      <c r="O240" s="137"/>
      <c r="P240" s="137"/>
      <c r="Q240" s="137"/>
      <c r="R240" s="137"/>
      <c r="S240" s="137"/>
      <c r="T240" s="137"/>
      <c r="U240" s="137"/>
      <c r="V240" s="137"/>
      <c r="W240" s="137"/>
    </row>
    <row r="241" spans="1:23" x14ac:dyDescent="0.2">
      <c r="A241" s="137"/>
      <c r="B241" s="137"/>
      <c r="C241" s="137"/>
      <c r="D241" s="137"/>
      <c r="E241" s="137"/>
      <c r="F241" s="137"/>
      <c r="G241" s="137"/>
      <c r="H241" s="137"/>
      <c r="I241" s="137"/>
      <c r="J241" s="137"/>
      <c r="K241" s="137"/>
      <c r="L241" s="137"/>
      <c r="M241" s="137"/>
      <c r="N241" s="137"/>
      <c r="O241" s="137"/>
      <c r="P241" s="137"/>
      <c r="Q241" s="137"/>
      <c r="R241" s="137"/>
      <c r="S241" s="137"/>
      <c r="T241" s="137"/>
      <c r="U241" s="137"/>
      <c r="V241" s="137"/>
      <c r="W241" s="137"/>
    </row>
    <row r="242" spans="1:23" x14ac:dyDescent="0.2">
      <c r="A242" s="137"/>
      <c r="B242" s="137"/>
      <c r="C242" s="137"/>
      <c r="D242" s="137"/>
      <c r="E242" s="137"/>
      <c r="F242" s="137"/>
      <c r="G242" s="137"/>
      <c r="H242" s="137"/>
      <c r="I242" s="137"/>
      <c r="J242" s="137"/>
      <c r="K242" s="137"/>
      <c r="L242" s="137"/>
      <c r="M242" s="137"/>
      <c r="N242" s="137"/>
      <c r="O242" s="137"/>
      <c r="P242" s="137"/>
      <c r="Q242" s="137"/>
      <c r="R242" s="137"/>
      <c r="S242" s="137"/>
      <c r="T242" s="137"/>
      <c r="U242" s="137"/>
      <c r="V242" s="137"/>
      <c r="W242" s="137"/>
    </row>
    <row r="243" spans="1:23" x14ac:dyDescent="0.2">
      <c r="A243" s="137"/>
      <c r="B243" s="137"/>
      <c r="C243" s="137"/>
      <c r="D243" s="137"/>
      <c r="E243" s="137"/>
      <c r="F243" s="137"/>
      <c r="G243" s="137"/>
      <c r="H243" s="137"/>
      <c r="I243" s="137"/>
      <c r="J243" s="137"/>
      <c r="K243" s="137"/>
      <c r="L243" s="137"/>
      <c r="M243" s="137"/>
      <c r="N243" s="137"/>
      <c r="O243" s="137"/>
      <c r="P243" s="137"/>
      <c r="Q243" s="137"/>
      <c r="R243" s="137"/>
      <c r="S243" s="137"/>
      <c r="T243" s="137"/>
      <c r="U243" s="137"/>
      <c r="V243" s="137"/>
      <c r="W243" s="137"/>
    </row>
    <row r="244" spans="1:23" x14ac:dyDescent="0.2">
      <c r="A244" s="137"/>
      <c r="B244" s="137"/>
      <c r="C244" s="137"/>
      <c r="D244" s="137"/>
      <c r="E244" s="137"/>
      <c r="F244" s="137"/>
      <c r="G244" s="137"/>
      <c r="H244" s="137"/>
      <c r="I244" s="137"/>
      <c r="J244" s="137"/>
      <c r="K244" s="137"/>
      <c r="L244" s="137"/>
      <c r="M244" s="137"/>
      <c r="N244" s="137"/>
      <c r="O244" s="137"/>
      <c r="P244" s="137"/>
      <c r="Q244" s="137"/>
      <c r="R244" s="137"/>
      <c r="S244" s="137"/>
      <c r="T244" s="137"/>
      <c r="U244" s="137"/>
      <c r="V244" s="137"/>
      <c r="W244" s="137"/>
    </row>
    <row r="245" spans="1:23" x14ac:dyDescent="0.2">
      <c r="A245" s="137"/>
      <c r="B245" s="137"/>
      <c r="C245" s="137"/>
      <c r="D245" s="137"/>
      <c r="E245" s="137"/>
      <c r="F245" s="137"/>
      <c r="G245" s="137"/>
      <c r="H245" s="137"/>
      <c r="I245" s="137"/>
      <c r="J245" s="137"/>
      <c r="K245" s="137"/>
      <c r="L245" s="137"/>
      <c r="M245" s="137"/>
      <c r="N245" s="137"/>
      <c r="O245" s="137"/>
      <c r="P245" s="137"/>
      <c r="Q245" s="137"/>
      <c r="R245" s="137"/>
      <c r="S245" s="137"/>
      <c r="T245" s="137"/>
      <c r="U245" s="137"/>
      <c r="V245" s="137"/>
      <c r="W245" s="137"/>
    </row>
    <row r="246" spans="1:23" x14ac:dyDescent="0.2">
      <c r="A246" s="137"/>
      <c r="B246" s="137"/>
      <c r="C246" s="137"/>
      <c r="D246" s="137"/>
      <c r="E246" s="137"/>
      <c r="F246" s="137"/>
      <c r="G246" s="137"/>
      <c r="H246" s="137"/>
      <c r="I246" s="137"/>
      <c r="J246" s="137"/>
      <c r="K246" s="137"/>
      <c r="L246" s="137"/>
      <c r="M246" s="137"/>
      <c r="N246" s="137"/>
      <c r="O246" s="137"/>
      <c r="P246" s="137"/>
      <c r="Q246" s="137"/>
      <c r="R246" s="137"/>
      <c r="S246" s="137"/>
      <c r="T246" s="137"/>
      <c r="U246" s="137"/>
      <c r="V246" s="137"/>
      <c r="W246" s="137"/>
    </row>
    <row r="247" spans="1:23" x14ac:dyDescent="0.2">
      <c r="A247" s="137"/>
      <c r="B247" s="137"/>
      <c r="C247" s="137"/>
      <c r="D247" s="137"/>
      <c r="E247" s="137"/>
      <c r="F247" s="137"/>
      <c r="G247" s="137"/>
      <c r="H247" s="137"/>
      <c r="I247" s="137"/>
      <c r="J247" s="137"/>
      <c r="K247" s="137"/>
      <c r="L247" s="137"/>
      <c r="M247" s="137"/>
      <c r="N247" s="137"/>
      <c r="O247" s="137"/>
      <c r="P247" s="137"/>
      <c r="Q247" s="137"/>
      <c r="R247" s="137"/>
      <c r="S247" s="137"/>
      <c r="T247" s="137"/>
      <c r="U247" s="137"/>
      <c r="V247" s="137"/>
      <c r="W247" s="137"/>
    </row>
    <row r="248" spans="1:23" x14ac:dyDescent="0.2">
      <c r="A248" s="137"/>
      <c r="B248" s="137"/>
      <c r="C248" s="137"/>
      <c r="D248" s="137"/>
      <c r="E248" s="137"/>
      <c r="F248" s="137"/>
      <c r="G248" s="137"/>
      <c r="H248" s="137"/>
      <c r="I248" s="137"/>
      <c r="J248" s="137"/>
      <c r="K248" s="137"/>
      <c r="L248" s="137"/>
      <c r="M248" s="137"/>
      <c r="N248" s="137"/>
      <c r="O248" s="137"/>
      <c r="P248" s="137"/>
      <c r="Q248" s="137"/>
      <c r="R248" s="137"/>
      <c r="S248" s="137"/>
      <c r="T248" s="137"/>
      <c r="U248" s="137"/>
      <c r="V248" s="137"/>
      <c r="W248" s="137"/>
    </row>
    <row r="249" spans="1:23" x14ac:dyDescent="0.2">
      <c r="A249" s="137"/>
      <c r="B249" s="137"/>
      <c r="C249" s="137"/>
      <c r="D249" s="137"/>
      <c r="E249" s="137"/>
      <c r="F249" s="137"/>
      <c r="G249" s="137"/>
      <c r="H249" s="137"/>
      <c r="I249" s="137"/>
      <c r="J249" s="137"/>
      <c r="K249" s="137"/>
      <c r="L249" s="137"/>
      <c r="M249" s="137"/>
      <c r="N249" s="137"/>
      <c r="O249" s="137"/>
      <c r="P249" s="137"/>
      <c r="Q249" s="137"/>
      <c r="R249" s="137"/>
      <c r="S249" s="137"/>
      <c r="T249" s="137"/>
      <c r="U249" s="137"/>
      <c r="V249" s="137"/>
      <c r="W249" s="137"/>
    </row>
    <row r="250" spans="1:23" x14ac:dyDescent="0.2">
      <c r="A250" s="137"/>
      <c r="B250" s="137"/>
      <c r="C250" s="137"/>
      <c r="D250" s="137"/>
      <c r="E250" s="137"/>
      <c r="F250" s="137"/>
      <c r="G250" s="137"/>
      <c r="H250" s="137"/>
      <c r="I250" s="137"/>
      <c r="J250" s="137"/>
      <c r="K250" s="137"/>
      <c r="L250" s="137"/>
      <c r="M250" s="137"/>
      <c r="N250" s="137"/>
      <c r="O250" s="137"/>
      <c r="P250" s="137"/>
      <c r="Q250" s="137"/>
      <c r="R250" s="137"/>
      <c r="S250" s="137"/>
      <c r="T250" s="137"/>
      <c r="U250" s="137"/>
      <c r="V250" s="137"/>
      <c r="W250" s="137"/>
    </row>
    <row r="251" spans="1:23" x14ac:dyDescent="0.2">
      <c r="A251" s="137"/>
      <c r="B251" s="137"/>
      <c r="C251" s="137"/>
      <c r="D251" s="137"/>
      <c r="E251" s="137"/>
      <c r="F251" s="137"/>
      <c r="G251" s="137"/>
      <c r="H251" s="137"/>
      <c r="I251" s="137"/>
      <c r="J251" s="137"/>
      <c r="K251" s="137"/>
      <c r="L251" s="137"/>
      <c r="M251" s="137"/>
      <c r="N251" s="137"/>
      <c r="O251" s="137"/>
      <c r="P251" s="137"/>
      <c r="Q251" s="137"/>
      <c r="R251" s="137"/>
      <c r="S251" s="137"/>
      <c r="T251" s="137"/>
      <c r="U251" s="137"/>
      <c r="V251" s="137"/>
      <c r="W251" s="137"/>
    </row>
    <row r="252" spans="1:23" x14ac:dyDescent="0.2">
      <c r="A252" s="137"/>
      <c r="B252" s="137"/>
      <c r="C252" s="137"/>
      <c r="D252" s="137"/>
      <c r="E252" s="137"/>
      <c r="F252" s="137"/>
      <c r="G252" s="137"/>
      <c r="H252" s="137"/>
      <c r="I252" s="137"/>
      <c r="J252" s="137"/>
      <c r="K252" s="137"/>
      <c r="L252" s="137"/>
      <c r="M252" s="137"/>
      <c r="N252" s="137"/>
      <c r="O252" s="137"/>
      <c r="P252" s="137"/>
      <c r="Q252" s="137"/>
      <c r="R252" s="137"/>
      <c r="S252" s="137"/>
      <c r="T252" s="137"/>
      <c r="U252" s="137"/>
      <c r="V252" s="137"/>
      <c r="W252" s="137"/>
    </row>
    <row r="253" spans="1:23" x14ac:dyDescent="0.2">
      <c r="A253" s="137"/>
      <c r="B253" s="137"/>
      <c r="C253" s="137"/>
      <c r="D253" s="137"/>
      <c r="E253" s="137"/>
      <c r="F253" s="137"/>
      <c r="G253" s="137"/>
      <c r="H253" s="137"/>
      <c r="I253" s="137"/>
      <c r="J253" s="137"/>
      <c r="K253" s="137"/>
      <c r="L253" s="137"/>
      <c r="M253" s="137"/>
      <c r="N253" s="137"/>
      <c r="O253" s="137"/>
      <c r="P253" s="137"/>
      <c r="Q253" s="137"/>
      <c r="R253" s="137"/>
      <c r="S253" s="137"/>
      <c r="T253" s="137"/>
      <c r="U253" s="137"/>
      <c r="V253" s="137"/>
      <c r="W253" s="137"/>
    </row>
    <row r="254" spans="1:23" x14ac:dyDescent="0.2">
      <c r="A254" s="137"/>
      <c r="B254" s="137"/>
      <c r="C254" s="137"/>
      <c r="D254" s="137"/>
      <c r="E254" s="137"/>
      <c r="F254" s="137"/>
      <c r="G254" s="137"/>
      <c r="H254" s="137"/>
      <c r="I254" s="137"/>
      <c r="J254" s="137"/>
      <c r="K254" s="137"/>
      <c r="L254" s="137"/>
      <c r="M254" s="137"/>
      <c r="N254" s="137"/>
      <c r="O254" s="137"/>
      <c r="P254" s="137"/>
      <c r="Q254" s="137"/>
      <c r="R254" s="137"/>
      <c r="S254" s="137"/>
      <c r="T254" s="137"/>
      <c r="U254" s="137"/>
      <c r="V254" s="137"/>
      <c r="W254" s="137"/>
    </row>
    <row r="255" spans="1:23" x14ac:dyDescent="0.2">
      <c r="A255" s="137"/>
      <c r="B255" s="137"/>
      <c r="C255" s="137"/>
      <c r="D255" s="137"/>
      <c r="E255" s="137"/>
      <c r="F255" s="137"/>
      <c r="G255" s="137"/>
      <c r="H255" s="137"/>
      <c r="I255" s="137"/>
      <c r="J255" s="137"/>
      <c r="K255" s="137"/>
      <c r="L255" s="137"/>
      <c r="M255" s="137"/>
      <c r="N255" s="137"/>
      <c r="O255" s="137"/>
      <c r="P255" s="137"/>
      <c r="Q255" s="137"/>
      <c r="R255" s="137"/>
      <c r="S255" s="137"/>
      <c r="T255" s="137"/>
      <c r="U255" s="137"/>
      <c r="V255" s="137"/>
      <c r="W255" s="137"/>
    </row>
    <row r="256" spans="1:23" x14ac:dyDescent="0.2">
      <c r="A256" s="137"/>
      <c r="B256" s="137"/>
      <c r="C256" s="137"/>
      <c r="D256" s="137"/>
      <c r="E256" s="137"/>
      <c r="F256" s="137"/>
      <c r="G256" s="137"/>
      <c r="H256" s="137"/>
      <c r="I256" s="137"/>
      <c r="J256" s="137"/>
      <c r="K256" s="137"/>
      <c r="L256" s="137"/>
      <c r="M256" s="137"/>
      <c r="N256" s="137"/>
      <c r="O256" s="137"/>
      <c r="P256" s="137"/>
      <c r="Q256" s="137"/>
      <c r="R256" s="137"/>
      <c r="S256" s="137"/>
      <c r="T256" s="137"/>
      <c r="U256" s="137"/>
      <c r="V256" s="137"/>
      <c r="W256" s="137"/>
    </row>
    <row r="257" spans="1:23" x14ac:dyDescent="0.2">
      <c r="A257" s="137"/>
      <c r="B257" s="137"/>
      <c r="C257" s="137"/>
      <c r="D257" s="137"/>
      <c r="E257" s="137"/>
      <c r="F257" s="137"/>
      <c r="G257" s="137"/>
      <c r="H257" s="137"/>
      <c r="I257" s="137"/>
      <c r="J257" s="137"/>
      <c r="K257" s="137"/>
      <c r="L257" s="137"/>
      <c r="M257" s="137"/>
      <c r="N257" s="137"/>
      <c r="O257" s="137"/>
      <c r="P257" s="137"/>
      <c r="Q257" s="137"/>
      <c r="R257" s="137"/>
      <c r="S257" s="137"/>
      <c r="T257" s="137"/>
      <c r="U257" s="137"/>
      <c r="V257" s="137"/>
      <c r="W257" s="137"/>
    </row>
    <row r="258" spans="1:23" x14ac:dyDescent="0.2">
      <c r="A258" s="137"/>
      <c r="B258" s="137"/>
      <c r="C258" s="137"/>
      <c r="D258" s="137"/>
      <c r="E258" s="137"/>
      <c r="F258" s="137"/>
      <c r="G258" s="137"/>
      <c r="H258" s="137"/>
      <c r="I258" s="137"/>
      <c r="J258" s="137"/>
      <c r="K258" s="137"/>
      <c r="L258" s="137"/>
      <c r="M258" s="137"/>
      <c r="N258" s="137"/>
      <c r="O258" s="137"/>
      <c r="P258" s="137"/>
      <c r="Q258" s="137"/>
      <c r="R258" s="137"/>
      <c r="S258" s="137"/>
      <c r="T258" s="137"/>
      <c r="U258" s="137"/>
      <c r="V258" s="137"/>
      <c r="W258" s="137"/>
    </row>
    <row r="259" spans="1:23" x14ac:dyDescent="0.2">
      <c r="A259" s="137"/>
      <c r="B259" s="137"/>
      <c r="C259" s="137"/>
      <c r="D259" s="137"/>
      <c r="E259" s="137"/>
      <c r="F259" s="137"/>
      <c r="G259" s="137"/>
      <c r="H259" s="137"/>
      <c r="I259" s="137"/>
      <c r="J259" s="137"/>
      <c r="K259" s="137"/>
      <c r="L259" s="137"/>
      <c r="M259" s="137"/>
      <c r="N259" s="137"/>
      <c r="O259" s="137"/>
      <c r="P259" s="137"/>
      <c r="Q259" s="137"/>
      <c r="R259" s="137"/>
      <c r="S259" s="137"/>
      <c r="T259" s="137"/>
      <c r="U259" s="137"/>
      <c r="V259" s="137"/>
      <c r="W259" s="137"/>
    </row>
    <row r="260" spans="1:23" x14ac:dyDescent="0.2">
      <c r="A260" s="137"/>
      <c r="B260" s="137"/>
      <c r="C260" s="137"/>
      <c r="D260" s="137"/>
      <c r="E260" s="137"/>
      <c r="F260" s="137"/>
      <c r="G260" s="137"/>
      <c r="H260" s="137"/>
      <c r="I260" s="137"/>
      <c r="J260" s="137"/>
      <c r="K260" s="137"/>
      <c r="L260" s="137"/>
      <c r="M260" s="137"/>
      <c r="N260" s="137"/>
      <c r="O260" s="137"/>
      <c r="P260" s="137"/>
      <c r="Q260" s="137"/>
      <c r="R260" s="137"/>
      <c r="S260" s="137"/>
      <c r="T260" s="137"/>
      <c r="U260" s="137"/>
      <c r="V260" s="137"/>
      <c r="W260" s="137"/>
    </row>
    <row r="261" spans="1:23" x14ac:dyDescent="0.2">
      <c r="A261" s="137"/>
      <c r="B261" s="137"/>
      <c r="C261" s="137"/>
      <c r="D261" s="137"/>
      <c r="E261" s="137"/>
      <c r="F261" s="137"/>
      <c r="G261" s="137"/>
      <c r="H261" s="137"/>
      <c r="I261" s="137"/>
      <c r="J261" s="137"/>
      <c r="K261" s="137"/>
      <c r="L261" s="137"/>
      <c r="M261" s="137"/>
      <c r="N261" s="137"/>
      <c r="O261" s="137"/>
      <c r="P261" s="137"/>
      <c r="Q261" s="137"/>
      <c r="R261" s="137"/>
      <c r="S261" s="137"/>
      <c r="T261" s="137"/>
      <c r="U261" s="137"/>
      <c r="V261" s="137"/>
      <c r="W261" s="137"/>
    </row>
    <row r="262" spans="1:23" x14ac:dyDescent="0.2">
      <c r="A262" s="137"/>
      <c r="B262" s="137"/>
      <c r="C262" s="137"/>
      <c r="D262" s="137"/>
      <c r="E262" s="137"/>
      <c r="F262" s="137"/>
      <c r="G262" s="137"/>
      <c r="H262" s="137"/>
      <c r="I262" s="137"/>
      <c r="J262" s="137"/>
      <c r="K262" s="137"/>
      <c r="L262" s="137"/>
      <c r="M262" s="137"/>
      <c r="N262" s="137"/>
      <c r="O262" s="137"/>
      <c r="P262" s="137"/>
      <c r="Q262" s="137"/>
      <c r="R262" s="137"/>
      <c r="S262" s="137"/>
      <c r="T262" s="137"/>
      <c r="U262" s="137"/>
      <c r="V262" s="137"/>
      <c r="W262" s="137"/>
    </row>
    <row r="263" spans="1:23" x14ac:dyDescent="0.2">
      <c r="A263" s="137"/>
      <c r="B263" s="137"/>
      <c r="C263" s="137"/>
      <c r="D263" s="137"/>
      <c r="E263" s="137"/>
      <c r="F263" s="137"/>
      <c r="G263" s="137"/>
      <c r="H263" s="137"/>
      <c r="I263" s="137"/>
      <c r="J263" s="137"/>
      <c r="K263" s="137"/>
      <c r="L263" s="137"/>
      <c r="M263" s="137"/>
      <c r="N263" s="137"/>
      <c r="O263" s="137"/>
      <c r="P263" s="137"/>
      <c r="Q263" s="137"/>
      <c r="R263" s="137"/>
      <c r="S263" s="137"/>
      <c r="T263" s="137"/>
      <c r="U263" s="137"/>
      <c r="V263" s="137"/>
      <c r="W263" s="137"/>
    </row>
    <row r="264" spans="1:23" x14ac:dyDescent="0.2">
      <c r="A264" s="137"/>
      <c r="B264" s="137"/>
      <c r="C264" s="137"/>
      <c r="D264" s="137"/>
      <c r="E264" s="137"/>
      <c r="F264" s="137"/>
      <c r="G264" s="137"/>
      <c r="H264" s="137"/>
      <c r="I264" s="137"/>
      <c r="J264" s="137"/>
      <c r="K264" s="137"/>
      <c r="L264" s="137"/>
      <c r="M264" s="137"/>
      <c r="N264" s="137"/>
      <c r="O264" s="137"/>
      <c r="P264" s="137"/>
      <c r="Q264" s="137"/>
      <c r="R264" s="137"/>
      <c r="S264" s="137"/>
      <c r="T264" s="137"/>
      <c r="U264" s="137"/>
      <c r="V264" s="137"/>
      <c r="W264" s="137"/>
    </row>
    <row r="265" spans="1:23" x14ac:dyDescent="0.2">
      <c r="A265" s="137"/>
      <c r="B265" s="137"/>
      <c r="C265" s="137"/>
      <c r="D265" s="137"/>
      <c r="E265" s="137"/>
      <c r="F265" s="137"/>
      <c r="G265" s="137"/>
      <c r="H265" s="137"/>
      <c r="I265" s="137"/>
      <c r="J265" s="137"/>
      <c r="K265" s="137"/>
      <c r="L265" s="137"/>
      <c r="M265" s="137"/>
      <c r="N265" s="137"/>
      <c r="O265" s="137"/>
      <c r="P265" s="137"/>
      <c r="Q265" s="137"/>
      <c r="R265" s="137"/>
      <c r="S265" s="137"/>
      <c r="T265" s="137"/>
      <c r="U265" s="137"/>
      <c r="V265" s="137"/>
      <c r="W265" s="137"/>
    </row>
    <row r="266" spans="1:23" x14ac:dyDescent="0.2">
      <c r="A266" s="137"/>
      <c r="B266" s="137"/>
      <c r="C266" s="137"/>
      <c r="D266" s="137"/>
      <c r="E266" s="137"/>
      <c r="F266" s="137"/>
      <c r="G266" s="137"/>
      <c r="H266" s="137"/>
      <c r="I266" s="137"/>
      <c r="J266" s="137"/>
      <c r="K266" s="137"/>
      <c r="L266" s="137"/>
      <c r="M266" s="137"/>
      <c r="N266" s="137"/>
      <c r="O266" s="137"/>
      <c r="P266" s="137"/>
      <c r="Q266" s="137"/>
      <c r="R266" s="137"/>
      <c r="S266" s="137"/>
      <c r="T266" s="137"/>
      <c r="U266" s="137"/>
      <c r="V266" s="137"/>
      <c r="W266" s="137"/>
    </row>
    <row r="267" spans="1:23" x14ac:dyDescent="0.2">
      <c r="A267" s="137"/>
      <c r="B267" s="137"/>
      <c r="C267" s="137"/>
      <c r="D267" s="137"/>
      <c r="E267" s="137"/>
      <c r="F267" s="137"/>
      <c r="G267" s="137"/>
      <c r="H267" s="137"/>
      <c r="I267" s="137"/>
      <c r="J267" s="137"/>
      <c r="K267" s="137"/>
      <c r="L267" s="137"/>
      <c r="M267" s="137"/>
      <c r="N267" s="137"/>
      <c r="O267" s="137"/>
      <c r="P267" s="137"/>
      <c r="Q267" s="137"/>
      <c r="R267" s="137"/>
      <c r="S267" s="137"/>
      <c r="T267" s="137"/>
      <c r="U267" s="137"/>
      <c r="V267" s="137"/>
      <c r="W267" s="137"/>
    </row>
    <row r="268" spans="1:23" x14ac:dyDescent="0.2">
      <c r="A268" s="137"/>
      <c r="B268" s="137"/>
      <c r="C268" s="137"/>
      <c r="D268" s="137"/>
      <c r="E268" s="137"/>
      <c r="F268" s="137"/>
      <c r="G268" s="137"/>
      <c r="H268" s="137"/>
      <c r="I268" s="137"/>
      <c r="J268" s="137"/>
      <c r="K268" s="137"/>
      <c r="L268" s="137"/>
      <c r="M268" s="137"/>
      <c r="N268" s="137"/>
      <c r="O268" s="137"/>
      <c r="P268" s="137"/>
      <c r="Q268" s="137"/>
      <c r="R268" s="137"/>
      <c r="S268" s="137"/>
      <c r="T268" s="137"/>
      <c r="U268" s="137"/>
      <c r="V268" s="137"/>
      <c r="W268" s="137"/>
    </row>
    <row r="269" spans="1:23" x14ac:dyDescent="0.2">
      <c r="A269" s="137"/>
      <c r="B269" s="137"/>
      <c r="C269" s="137"/>
      <c r="D269" s="137"/>
      <c r="E269" s="137"/>
      <c r="F269" s="137"/>
      <c r="G269" s="137"/>
      <c r="H269" s="137"/>
      <c r="I269" s="137"/>
      <c r="J269" s="137"/>
      <c r="K269" s="137"/>
      <c r="L269" s="137"/>
      <c r="M269" s="137"/>
      <c r="N269" s="137"/>
      <c r="O269" s="137"/>
      <c r="P269" s="137"/>
      <c r="Q269" s="137"/>
      <c r="R269" s="137"/>
      <c r="S269" s="137"/>
      <c r="T269" s="137"/>
      <c r="U269" s="137"/>
      <c r="V269" s="137"/>
      <c r="W269" s="137"/>
    </row>
    <row r="270" spans="1:23" x14ac:dyDescent="0.2">
      <c r="A270" s="137"/>
      <c r="B270" s="137"/>
      <c r="C270" s="137"/>
      <c r="D270" s="137"/>
      <c r="E270" s="137"/>
      <c r="F270" s="137"/>
      <c r="G270" s="137"/>
      <c r="H270" s="137"/>
      <c r="I270" s="137"/>
      <c r="J270" s="137"/>
      <c r="K270" s="137"/>
      <c r="L270" s="137"/>
      <c r="M270" s="137"/>
      <c r="N270" s="137"/>
      <c r="O270" s="137"/>
      <c r="P270" s="137"/>
      <c r="Q270" s="137"/>
      <c r="R270" s="137"/>
      <c r="S270" s="137"/>
      <c r="T270" s="137"/>
      <c r="U270" s="137"/>
      <c r="V270" s="137"/>
      <c r="W270" s="137"/>
    </row>
    <row r="271" spans="1:23" x14ac:dyDescent="0.2">
      <c r="A271" s="137"/>
      <c r="B271" s="137"/>
      <c r="C271" s="137"/>
      <c r="D271" s="137"/>
      <c r="E271" s="137"/>
      <c r="F271" s="137"/>
      <c r="G271" s="137"/>
      <c r="H271" s="137"/>
      <c r="I271" s="137"/>
      <c r="J271" s="137"/>
      <c r="K271" s="137"/>
      <c r="L271" s="137"/>
      <c r="M271" s="137"/>
      <c r="N271" s="137"/>
      <c r="O271" s="137"/>
      <c r="P271" s="137"/>
      <c r="Q271" s="137"/>
      <c r="R271" s="137"/>
      <c r="S271" s="137"/>
      <c r="T271" s="137"/>
      <c r="U271" s="137"/>
      <c r="V271" s="137"/>
      <c r="W271" s="137"/>
    </row>
    <row r="272" spans="1:23" x14ac:dyDescent="0.2">
      <c r="A272" s="137"/>
      <c r="B272" s="137"/>
      <c r="C272" s="137"/>
      <c r="D272" s="137"/>
      <c r="E272" s="137"/>
      <c r="F272" s="137"/>
      <c r="G272" s="137"/>
      <c r="H272" s="137"/>
      <c r="I272" s="137"/>
      <c r="J272" s="137"/>
      <c r="K272" s="137"/>
      <c r="L272" s="137"/>
      <c r="M272" s="137"/>
      <c r="N272" s="137"/>
      <c r="O272" s="137"/>
      <c r="P272" s="137"/>
      <c r="Q272" s="137"/>
      <c r="R272" s="137"/>
      <c r="S272" s="137"/>
      <c r="T272" s="137"/>
      <c r="U272" s="137"/>
      <c r="V272" s="137"/>
      <c r="W272" s="137"/>
    </row>
    <row r="273" spans="1:23" x14ac:dyDescent="0.2">
      <c r="A273" s="137"/>
      <c r="B273" s="137"/>
      <c r="C273" s="137"/>
      <c r="D273" s="137"/>
      <c r="E273" s="137"/>
      <c r="F273" s="137"/>
      <c r="G273" s="137"/>
      <c r="H273" s="137"/>
      <c r="I273" s="137"/>
      <c r="J273" s="137"/>
      <c r="K273" s="137"/>
      <c r="L273" s="137"/>
      <c r="M273" s="137"/>
      <c r="N273" s="137"/>
      <c r="O273" s="137"/>
      <c r="P273" s="137"/>
      <c r="Q273" s="137"/>
      <c r="R273" s="137"/>
      <c r="S273" s="137"/>
      <c r="T273" s="137"/>
      <c r="U273" s="137"/>
      <c r="V273" s="137"/>
      <c r="W273" s="137"/>
    </row>
    <row r="274" spans="1:23" x14ac:dyDescent="0.2">
      <c r="A274" s="137"/>
      <c r="B274" s="137"/>
      <c r="C274" s="137"/>
      <c r="D274" s="137"/>
      <c r="E274" s="137"/>
      <c r="F274" s="137"/>
      <c r="G274" s="137"/>
      <c r="H274" s="137"/>
      <c r="I274" s="137"/>
      <c r="J274" s="137"/>
      <c r="K274" s="137"/>
      <c r="L274" s="137"/>
      <c r="M274" s="137"/>
      <c r="N274" s="137"/>
      <c r="O274" s="137"/>
      <c r="P274" s="137"/>
      <c r="Q274" s="137"/>
      <c r="R274" s="137"/>
      <c r="S274" s="137"/>
      <c r="T274" s="137"/>
      <c r="U274" s="137"/>
      <c r="V274" s="137"/>
      <c r="W274" s="137"/>
    </row>
    <row r="275" spans="1:23" x14ac:dyDescent="0.2">
      <c r="A275" s="137"/>
      <c r="B275" s="137"/>
      <c r="C275" s="137"/>
      <c r="D275" s="137"/>
      <c r="E275" s="137"/>
      <c r="F275" s="137"/>
      <c r="G275" s="137"/>
      <c r="H275" s="137"/>
      <c r="I275" s="137"/>
      <c r="J275" s="137"/>
      <c r="K275" s="137"/>
      <c r="L275" s="137"/>
      <c r="M275" s="137"/>
      <c r="N275" s="137"/>
      <c r="O275" s="137"/>
      <c r="P275" s="137"/>
      <c r="Q275" s="137"/>
      <c r="R275" s="137"/>
      <c r="S275" s="137"/>
      <c r="T275" s="137"/>
      <c r="U275" s="137"/>
      <c r="V275" s="137"/>
      <c r="W275" s="137"/>
    </row>
    <row r="276" spans="1:23" x14ac:dyDescent="0.2">
      <c r="A276" s="137"/>
      <c r="B276" s="137"/>
      <c r="C276" s="137"/>
      <c r="D276" s="137"/>
      <c r="E276" s="137"/>
      <c r="F276" s="137"/>
      <c r="G276" s="137"/>
      <c r="H276" s="137"/>
      <c r="I276" s="137"/>
      <c r="J276" s="137"/>
      <c r="K276" s="137"/>
      <c r="L276" s="137"/>
      <c r="M276" s="137"/>
      <c r="N276" s="137"/>
      <c r="O276" s="137"/>
      <c r="P276" s="137"/>
      <c r="Q276" s="137"/>
      <c r="R276" s="137"/>
      <c r="S276" s="137"/>
      <c r="T276" s="137"/>
      <c r="U276" s="137"/>
      <c r="V276" s="137"/>
      <c r="W276" s="137"/>
    </row>
    <row r="277" spans="1:23" x14ac:dyDescent="0.2">
      <c r="A277" s="137"/>
      <c r="B277" s="137"/>
      <c r="C277" s="137"/>
      <c r="D277" s="137"/>
      <c r="E277" s="137"/>
      <c r="F277" s="137"/>
      <c r="G277" s="137"/>
      <c r="H277" s="137"/>
      <c r="I277" s="137"/>
      <c r="J277" s="137"/>
      <c r="K277" s="137"/>
      <c r="L277" s="137"/>
      <c r="M277" s="137"/>
      <c r="N277" s="137"/>
      <c r="O277" s="137"/>
      <c r="P277" s="137"/>
      <c r="Q277" s="137"/>
      <c r="R277" s="137"/>
      <c r="S277" s="137"/>
      <c r="T277" s="137"/>
      <c r="U277" s="137"/>
      <c r="V277" s="137"/>
      <c r="W277" s="137"/>
    </row>
    <row r="278" spans="1:23" x14ac:dyDescent="0.2">
      <c r="A278" s="137"/>
      <c r="B278" s="137"/>
      <c r="C278" s="137"/>
      <c r="D278" s="137"/>
      <c r="E278" s="137"/>
      <c r="F278" s="137"/>
      <c r="G278" s="137"/>
      <c r="H278" s="137"/>
      <c r="I278" s="137"/>
      <c r="J278" s="137"/>
      <c r="K278" s="137"/>
      <c r="L278" s="137"/>
      <c r="M278" s="137"/>
      <c r="N278" s="137"/>
      <c r="O278" s="137"/>
      <c r="P278" s="137"/>
      <c r="Q278" s="137"/>
      <c r="R278" s="137"/>
      <c r="S278" s="137"/>
      <c r="T278" s="137"/>
      <c r="U278" s="137"/>
      <c r="V278" s="137"/>
      <c r="W278" s="137"/>
    </row>
    <row r="279" spans="1:23" x14ac:dyDescent="0.2">
      <c r="A279" s="137"/>
      <c r="B279" s="137"/>
      <c r="C279" s="137"/>
      <c r="D279" s="137"/>
      <c r="E279" s="137"/>
      <c r="F279" s="137"/>
      <c r="G279" s="137"/>
      <c r="H279" s="137"/>
      <c r="I279" s="137"/>
      <c r="J279" s="137"/>
      <c r="K279" s="137"/>
      <c r="L279" s="137"/>
      <c r="M279" s="137"/>
      <c r="N279" s="137"/>
      <c r="O279" s="137"/>
      <c r="P279" s="137"/>
      <c r="Q279" s="137"/>
      <c r="R279" s="137"/>
      <c r="S279" s="137"/>
      <c r="T279" s="137"/>
      <c r="U279" s="137"/>
      <c r="V279" s="137"/>
      <c r="W279" s="137"/>
    </row>
    <row r="280" spans="1:23" x14ac:dyDescent="0.2">
      <c r="A280" s="137"/>
      <c r="B280" s="137"/>
      <c r="C280" s="137"/>
      <c r="D280" s="137"/>
      <c r="E280" s="137"/>
      <c r="F280" s="137"/>
      <c r="G280" s="137"/>
      <c r="H280" s="137"/>
      <c r="I280" s="137"/>
      <c r="J280" s="137"/>
      <c r="K280" s="137"/>
      <c r="L280" s="137"/>
      <c r="M280" s="137"/>
      <c r="N280" s="137"/>
      <c r="O280" s="137"/>
      <c r="P280" s="137"/>
      <c r="Q280" s="137"/>
      <c r="R280" s="137"/>
      <c r="S280" s="137"/>
      <c r="T280" s="137"/>
      <c r="U280" s="137"/>
      <c r="V280" s="137"/>
      <c r="W280" s="137"/>
    </row>
    <row r="281" spans="1:23" x14ac:dyDescent="0.2">
      <c r="A281" s="137"/>
      <c r="B281" s="137"/>
      <c r="C281" s="137"/>
      <c r="D281" s="137"/>
      <c r="E281" s="137"/>
      <c r="F281" s="137"/>
      <c r="G281" s="137"/>
      <c r="H281" s="137"/>
      <c r="I281" s="137"/>
      <c r="J281" s="137"/>
      <c r="K281" s="137"/>
      <c r="L281" s="137"/>
      <c r="M281" s="137"/>
      <c r="N281" s="137"/>
      <c r="O281" s="137"/>
      <c r="P281" s="137"/>
      <c r="Q281" s="137"/>
      <c r="R281" s="137"/>
      <c r="S281" s="137"/>
      <c r="T281" s="137"/>
      <c r="U281" s="137"/>
      <c r="V281" s="137"/>
      <c r="W281" s="137"/>
    </row>
    <row r="282" spans="1:23" x14ac:dyDescent="0.2">
      <c r="A282" s="137"/>
      <c r="B282" s="137"/>
      <c r="C282" s="137"/>
      <c r="D282" s="137"/>
      <c r="E282" s="137"/>
      <c r="F282" s="137"/>
      <c r="G282" s="137"/>
      <c r="H282" s="137"/>
      <c r="I282" s="137"/>
      <c r="J282" s="137"/>
      <c r="K282" s="137"/>
      <c r="L282" s="137"/>
      <c r="M282" s="137"/>
      <c r="N282" s="137"/>
      <c r="O282" s="137"/>
      <c r="P282" s="137"/>
      <c r="Q282" s="137"/>
      <c r="R282" s="137"/>
      <c r="S282" s="137"/>
      <c r="T282" s="137"/>
      <c r="U282" s="137"/>
      <c r="V282" s="137"/>
      <c r="W282" s="137"/>
    </row>
    <row r="283" spans="1:23" x14ac:dyDescent="0.2">
      <c r="A283" s="137"/>
      <c r="B283" s="137"/>
      <c r="C283" s="137"/>
      <c r="D283" s="137"/>
      <c r="E283" s="137"/>
      <c r="F283" s="137"/>
      <c r="G283" s="137"/>
      <c r="H283" s="137"/>
      <c r="I283" s="137"/>
      <c r="J283" s="137"/>
      <c r="K283" s="137"/>
      <c r="L283" s="137"/>
      <c r="M283" s="137"/>
      <c r="N283" s="137"/>
      <c r="O283" s="137"/>
      <c r="P283" s="137"/>
      <c r="Q283" s="137"/>
      <c r="R283" s="137"/>
      <c r="S283" s="137"/>
      <c r="T283" s="137"/>
      <c r="U283" s="137"/>
      <c r="V283" s="137"/>
      <c r="W283" s="137"/>
    </row>
    <row r="284" spans="1:23" x14ac:dyDescent="0.2">
      <c r="A284" s="137"/>
      <c r="B284" s="137"/>
      <c r="C284" s="137"/>
      <c r="D284" s="137"/>
      <c r="E284" s="137"/>
      <c r="F284" s="137"/>
      <c r="G284" s="137"/>
      <c r="H284" s="137"/>
      <c r="I284" s="137"/>
      <c r="J284" s="137"/>
      <c r="K284" s="137"/>
      <c r="L284" s="137"/>
      <c r="M284" s="137"/>
      <c r="N284" s="137"/>
      <c r="O284" s="137"/>
      <c r="P284" s="137"/>
      <c r="Q284" s="137"/>
      <c r="R284" s="137"/>
      <c r="S284" s="137"/>
      <c r="T284" s="137"/>
      <c r="U284" s="137"/>
      <c r="V284" s="137"/>
      <c r="W284" s="137"/>
    </row>
    <row r="285" spans="1:23" x14ac:dyDescent="0.2">
      <c r="A285" s="137"/>
      <c r="B285" s="137"/>
      <c r="C285" s="137"/>
      <c r="D285" s="137"/>
      <c r="E285" s="137"/>
      <c r="F285" s="137"/>
      <c r="G285" s="137"/>
      <c r="H285" s="137"/>
      <c r="I285" s="137"/>
      <c r="J285" s="137"/>
      <c r="K285" s="137"/>
      <c r="L285" s="137"/>
      <c r="M285" s="137"/>
      <c r="N285" s="137"/>
      <c r="O285" s="137"/>
      <c r="P285" s="137"/>
      <c r="Q285" s="137"/>
      <c r="R285" s="137"/>
      <c r="S285" s="137"/>
      <c r="T285" s="137"/>
      <c r="U285" s="137"/>
      <c r="V285" s="137"/>
      <c r="W285" s="137"/>
    </row>
    <row r="286" spans="1:23" x14ac:dyDescent="0.2">
      <c r="A286" s="137"/>
      <c r="B286" s="137"/>
      <c r="C286" s="137"/>
      <c r="D286" s="137"/>
      <c r="E286" s="137"/>
      <c r="F286" s="137"/>
      <c r="G286" s="137"/>
      <c r="H286" s="137"/>
      <c r="I286" s="137"/>
      <c r="J286" s="137"/>
      <c r="K286" s="137"/>
      <c r="L286" s="137"/>
      <c r="M286" s="137"/>
      <c r="N286" s="137"/>
      <c r="O286" s="137"/>
      <c r="P286" s="137"/>
      <c r="Q286" s="137"/>
      <c r="R286" s="137"/>
      <c r="S286" s="137"/>
      <c r="T286" s="137"/>
      <c r="U286" s="137"/>
      <c r="V286" s="137"/>
      <c r="W286" s="137"/>
    </row>
    <row r="287" spans="1:23" x14ac:dyDescent="0.2">
      <c r="A287" s="137"/>
      <c r="B287" s="137"/>
      <c r="C287" s="137"/>
      <c r="D287" s="137"/>
      <c r="E287" s="137"/>
      <c r="F287" s="137"/>
      <c r="G287" s="137"/>
      <c r="H287" s="137"/>
      <c r="I287" s="137"/>
      <c r="J287" s="137"/>
      <c r="K287" s="137"/>
      <c r="L287" s="137"/>
      <c r="M287" s="137"/>
      <c r="N287" s="137"/>
      <c r="O287" s="137"/>
      <c r="P287" s="137"/>
      <c r="Q287" s="137"/>
      <c r="R287" s="137"/>
      <c r="S287" s="137"/>
      <c r="T287" s="137"/>
      <c r="U287" s="137"/>
      <c r="V287" s="137"/>
      <c r="W287" s="137"/>
    </row>
    <row r="288" spans="1:23" x14ac:dyDescent="0.2">
      <c r="A288" s="137"/>
      <c r="B288" s="137"/>
      <c r="C288" s="137"/>
      <c r="D288" s="137"/>
      <c r="E288" s="137"/>
      <c r="F288" s="137"/>
      <c r="G288" s="137"/>
      <c r="H288" s="137"/>
      <c r="I288" s="137"/>
      <c r="J288" s="137"/>
      <c r="K288" s="137"/>
      <c r="L288" s="137"/>
      <c r="M288" s="137"/>
      <c r="N288" s="137"/>
      <c r="O288" s="137"/>
      <c r="P288" s="137"/>
      <c r="Q288" s="137"/>
      <c r="R288" s="137"/>
      <c r="S288" s="137"/>
      <c r="T288" s="137"/>
      <c r="U288" s="137"/>
      <c r="V288" s="137"/>
      <c r="W288" s="137"/>
    </row>
    <row r="289" spans="1:23" x14ac:dyDescent="0.2">
      <c r="A289" s="137"/>
      <c r="B289" s="137"/>
      <c r="C289" s="137"/>
      <c r="D289" s="137"/>
      <c r="E289" s="137"/>
      <c r="F289" s="137"/>
      <c r="G289" s="137"/>
      <c r="H289" s="137"/>
      <c r="I289" s="137"/>
      <c r="J289" s="137"/>
      <c r="K289" s="137"/>
      <c r="L289" s="137"/>
      <c r="M289" s="137"/>
      <c r="N289" s="137"/>
      <c r="O289" s="137"/>
      <c r="P289" s="137"/>
      <c r="Q289" s="137"/>
      <c r="R289" s="137"/>
      <c r="S289" s="137"/>
      <c r="T289" s="137"/>
      <c r="U289" s="137"/>
      <c r="V289" s="137"/>
      <c r="W289" s="137"/>
    </row>
    <row r="290" spans="1:23" x14ac:dyDescent="0.2">
      <c r="A290" s="137"/>
      <c r="B290" s="137"/>
      <c r="C290" s="137"/>
      <c r="D290" s="137"/>
      <c r="E290" s="137"/>
      <c r="F290" s="137"/>
      <c r="G290" s="137"/>
      <c r="H290" s="137"/>
      <c r="I290" s="137"/>
      <c r="J290" s="137"/>
      <c r="K290" s="137"/>
      <c r="L290" s="137"/>
      <c r="M290" s="137"/>
      <c r="N290" s="137"/>
      <c r="O290" s="137"/>
      <c r="P290" s="137"/>
      <c r="Q290" s="137"/>
      <c r="R290" s="137"/>
      <c r="S290" s="137"/>
      <c r="T290" s="137"/>
      <c r="U290" s="137"/>
      <c r="V290" s="137"/>
      <c r="W290" s="137"/>
    </row>
    <row r="291" spans="1:23" x14ac:dyDescent="0.2">
      <c r="A291" s="137"/>
      <c r="B291" s="137"/>
      <c r="C291" s="137"/>
      <c r="D291" s="137"/>
      <c r="E291" s="137"/>
      <c r="F291" s="137"/>
      <c r="G291" s="137"/>
      <c r="H291" s="137"/>
      <c r="I291" s="137"/>
      <c r="J291" s="137"/>
      <c r="K291" s="137"/>
      <c r="L291" s="137"/>
      <c r="M291" s="137"/>
      <c r="N291" s="137"/>
      <c r="O291" s="137"/>
      <c r="P291" s="137"/>
      <c r="Q291" s="137"/>
      <c r="R291" s="137"/>
      <c r="S291" s="137"/>
      <c r="T291" s="137"/>
      <c r="U291" s="137"/>
      <c r="V291" s="137"/>
      <c r="W291" s="137"/>
    </row>
    <row r="292" spans="1:23" x14ac:dyDescent="0.2">
      <c r="A292" s="137"/>
      <c r="B292" s="137"/>
      <c r="C292" s="137"/>
      <c r="D292" s="137"/>
      <c r="E292" s="137"/>
      <c r="F292" s="137"/>
      <c r="G292" s="137"/>
      <c r="H292" s="137"/>
      <c r="I292" s="137"/>
      <c r="J292" s="137"/>
      <c r="K292" s="137"/>
      <c r="L292" s="137"/>
      <c r="M292" s="137"/>
      <c r="N292" s="137"/>
      <c r="O292" s="137"/>
      <c r="P292" s="137"/>
      <c r="Q292" s="137"/>
      <c r="R292" s="137"/>
      <c r="S292" s="137"/>
      <c r="T292" s="137"/>
      <c r="U292" s="137"/>
      <c r="V292" s="137"/>
      <c r="W292" s="137"/>
    </row>
    <row r="293" spans="1:23" x14ac:dyDescent="0.2">
      <c r="A293" s="137"/>
      <c r="B293" s="137"/>
      <c r="C293" s="137"/>
      <c r="D293" s="137"/>
      <c r="E293" s="137"/>
      <c r="F293" s="137"/>
      <c r="G293" s="137"/>
      <c r="H293" s="137"/>
      <c r="I293" s="137"/>
      <c r="J293" s="137"/>
      <c r="K293" s="137"/>
      <c r="L293" s="137"/>
      <c r="M293" s="137"/>
      <c r="N293" s="137"/>
      <c r="O293" s="137"/>
      <c r="P293" s="137"/>
      <c r="Q293" s="137"/>
      <c r="R293" s="137"/>
      <c r="S293" s="137"/>
      <c r="T293" s="137"/>
      <c r="U293" s="137"/>
      <c r="V293" s="137"/>
      <c r="W293" s="137"/>
    </row>
    <row r="294" spans="1:23" x14ac:dyDescent="0.2">
      <c r="A294" s="137"/>
      <c r="B294" s="137"/>
      <c r="C294" s="137"/>
      <c r="D294" s="137"/>
      <c r="E294" s="137"/>
      <c r="F294" s="137"/>
      <c r="G294" s="137"/>
      <c r="H294" s="137"/>
      <c r="I294" s="137"/>
      <c r="J294" s="137"/>
      <c r="K294" s="137"/>
      <c r="L294" s="137"/>
      <c r="M294" s="137"/>
      <c r="N294" s="137"/>
      <c r="O294" s="137"/>
      <c r="P294" s="137"/>
      <c r="Q294" s="137"/>
      <c r="R294" s="137"/>
      <c r="S294" s="137"/>
      <c r="T294" s="137"/>
      <c r="U294" s="137"/>
      <c r="V294" s="137"/>
      <c r="W294" s="137"/>
    </row>
    <row r="295" spans="1:23" x14ac:dyDescent="0.2">
      <c r="A295" s="137"/>
      <c r="B295" s="137"/>
      <c r="C295" s="137"/>
      <c r="D295" s="137"/>
      <c r="E295" s="137"/>
      <c r="F295" s="137"/>
      <c r="G295" s="137"/>
      <c r="H295" s="137"/>
      <c r="I295" s="137"/>
      <c r="J295" s="137"/>
      <c r="K295" s="137"/>
      <c r="L295" s="137"/>
      <c r="M295" s="137"/>
      <c r="N295" s="137"/>
      <c r="O295" s="137"/>
      <c r="P295" s="137"/>
      <c r="Q295" s="137"/>
      <c r="R295" s="137"/>
      <c r="S295" s="137"/>
      <c r="T295" s="137"/>
      <c r="U295" s="137"/>
      <c r="V295" s="137"/>
      <c r="W295" s="137"/>
    </row>
    <row r="296" spans="1:23" x14ac:dyDescent="0.2">
      <c r="A296" s="137"/>
      <c r="B296" s="137"/>
      <c r="C296" s="137"/>
      <c r="D296" s="137"/>
      <c r="E296" s="137"/>
      <c r="F296" s="137"/>
      <c r="G296" s="137"/>
      <c r="H296" s="137"/>
      <c r="I296" s="137"/>
      <c r="J296" s="137"/>
      <c r="K296" s="137"/>
      <c r="L296" s="137"/>
      <c r="M296" s="137"/>
      <c r="N296" s="137"/>
      <c r="O296" s="137"/>
      <c r="P296" s="137"/>
      <c r="Q296" s="137"/>
      <c r="R296" s="137"/>
      <c r="S296" s="137"/>
      <c r="T296" s="137"/>
      <c r="U296" s="137"/>
      <c r="V296" s="137"/>
      <c r="W296" s="137"/>
    </row>
    <row r="297" spans="1:23" x14ac:dyDescent="0.2">
      <c r="A297" s="137"/>
      <c r="B297" s="137"/>
      <c r="C297" s="137"/>
      <c r="D297" s="137"/>
      <c r="E297" s="137"/>
      <c r="F297" s="137"/>
      <c r="G297" s="137"/>
      <c r="H297" s="137"/>
      <c r="I297" s="137"/>
      <c r="J297" s="137"/>
      <c r="K297" s="137"/>
      <c r="L297" s="137"/>
      <c r="M297" s="137"/>
      <c r="N297" s="137"/>
      <c r="O297" s="137"/>
      <c r="P297" s="137"/>
      <c r="Q297" s="137"/>
      <c r="R297" s="137"/>
      <c r="S297" s="137"/>
      <c r="T297" s="137"/>
      <c r="U297" s="137"/>
      <c r="V297" s="137"/>
      <c r="W297" s="137"/>
    </row>
    <row r="298" spans="1:23" x14ac:dyDescent="0.2">
      <c r="A298" s="137"/>
      <c r="B298" s="137"/>
      <c r="C298" s="137"/>
      <c r="D298" s="137"/>
      <c r="E298" s="137"/>
      <c r="F298" s="137"/>
      <c r="G298" s="137"/>
      <c r="H298" s="137"/>
      <c r="I298" s="137"/>
      <c r="J298" s="137"/>
      <c r="K298" s="137"/>
      <c r="L298" s="137"/>
      <c r="M298" s="137"/>
      <c r="N298" s="137"/>
      <c r="O298" s="137"/>
      <c r="P298" s="137"/>
      <c r="Q298" s="137"/>
      <c r="R298" s="137"/>
      <c r="S298" s="137"/>
      <c r="T298" s="137"/>
      <c r="U298" s="137"/>
      <c r="V298" s="137"/>
      <c r="W298" s="137"/>
    </row>
    <row r="299" spans="1:23" x14ac:dyDescent="0.2">
      <c r="A299" s="137"/>
      <c r="B299" s="137"/>
      <c r="C299" s="137"/>
      <c r="D299" s="137"/>
      <c r="E299" s="137"/>
      <c r="F299" s="137"/>
      <c r="G299" s="137"/>
      <c r="H299" s="137"/>
      <c r="I299" s="137"/>
      <c r="J299" s="137"/>
      <c r="K299" s="137"/>
      <c r="L299" s="137"/>
      <c r="M299" s="137"/>
      <c r="N299" s="137"/>
      <c r="O299" s="137"/>
      <c r="P299" s="137"/>
      <c r="Q299" s="137"/>
      <c r="R299" s="137"/>
      <c r="S299" s="137"/>
      <c r="T299" s="137"/>
      <c r="U299" s="137"/>
      <c r="V299" s="137"/>
      <c r="W299" s="137"/>
    </row>
    <row r="300" spans="1:23" x14ac:dyDescent="0.2">
      <c r="A300" s="137"/>
      <c r="B300" s="137"/>
      <c r="C300" s="137"/>
      <c r="D300" s="137"/>
      <c r="E300" s="137"/>
      <c r="F300" s="137"/>
      <c r="G300" s="137"/>
      <c r="H300" s="137"/>
      <c r="I300" s="137"/>
      <c r="J300" s="137"/>
      <c r="K300" s="137"/>
      <c r="L300" s="137"/>
      <c r="M300" s="137"/>
      <c r="N300" s="137"/>
      <c r="O300" s="137"/>
      <c r="P300" s="137"/>
      <c r="Q300" s="137"/>
      <c r="R300" s="137"/>
      <c r="S300" s="137"/>
      <c r="T300" s="137"/>
      <c r="U300" s="137"/>
      <c r="V300" s="137"/>
      <c r="W300" s="137"/>
    </row>
    <row r="301" spans="1:23" x14ac:dyDescent="0.2">
      <c r="A301" s="137"/>
      <c r="B301" s="137"/>
      <c r="C301" s="137"/>
      <c r="D301" s="137"/>
      <c r="E301" s="137"/>
      <c r="F301" s="137"/>
      <c r="G301" s="137"/>
      <c r="H301" s="137"/>
      <c r="I301" s="137"/>
      <c r="J301" s="137"/>
      <c r="K301" s="137"/>
      <c r="L301" s="137"/>
      <c r="M301" s="137"/>
      <c r="N301" s="137"/>
      <c r="O301" s="137"/>
      <c r="P301" s="137"/>
      <c r="Q301" s="137"/>
      <c r="R301" s="137"/>
      <c r="S301" s="137"/>
      <c r="T301" s="137"/>
      <c r="U301" s="137"/>
      <c r="V301" s="137"/>
      <c r="W301" s="137"/>
    </row>
    <row r="302" spans="1:23" x14ac:dyDescent="0.2">
      <c r="A302" s="137"/>
      <c r="B302" s="137"/>
      <c r="C302" s="137"/>
      <c r="D302" s="137"/>
      <c r="E302" s="137"/>
      <c r="F302" s="137"/>
      <c r="G302" s="137"/>
      <c r="H302" s="137"/>
      <c r="I302" s="137"/>
      <c r="J302" s="137"/>
      <c r="K302" s="137"/>
      <c r="L302" s="137"/>
      <c r="M302" s="137"/>
      <c r="N302" s="137"/>
      <c r="O302" s="137"/>
      <c r="P302" s="137"/>
      <c r="Q302" s="137"/>
      <c r="R302" s="137"/>
      <c r="S302" s="137"/>
      <c r="T302" s="137"/>
      <c r="U302" s="137"/>
      <c r="V302" s="137"/>
      <c r="W302" s="137"/>
    </row>
    <row r="303" spans="1:23" x14ac:dyDescent="0.2">
      <c r="A303" s="137"/>
      <c r="B303" s="137"/>
      <c r="C303" s="137"/>
      <c r="D303" s="137"/>
      <c r="E303" s="137"/>
      <c r="F303" s="137"/>
      <c r="G303" s="137"/>
      <c r="H303" s="137"/>
      <c r="I303" s="137"/>
      <c r="J303" s="137"/>
      <c r="K303" s="137"/>
      <c r="L303" s="137"/>
      <c r="M303" s="137"/>
      <c r="N303" s="137"/>
      <c r="O303" s="137"/>
      <c r="P303" s="137"/>
      <c r="Q303" s="137"/>
      <c r="R303" s="137"/>
      <c r="S303" s="137"/>
      <c r="T303" s="137"/>
      <c r="U303" s="137"/>
      <c r="V303" s="137"/>
      <c r="W303" s="137"/>
    </row>
    <row r="304" spans="1:23" x14ac:dyDescent="0.2">
      <c r="A304" s="137"/>
      <c r="B304" s="137"/>
      <c r="C304" s="137"/>
      <c r="D304" s="137"/>
      <c r="E304" s="137"/>
      <c r="F304" s="137"/>
      <c r="G304" s="137"/>
      <c r="H304" s="137"/>
      <c r="I304" s="137"/>
      <c r="J304" s="137"/>
      <c r="K304" s="137"/>
      <c r="L304" s="137"/>
      <c r="M304" s="137"/>
      <c r="N304" s="137"/>
      <c r="O304" s="137"/>
      <c r="P304" s="137"/>
      <c r="Q304" s="137"/>
      <c r="R304" s="137"/>
      <c r="S304" s="137"/>
      <c r="T304" s="137"/>
      <c r="U304" s="137"/>
      <c r="V304" s="137"/>
      <c r="W304" s="137"/>
    </row>
    <row r="305" spans="1:23" x14ac:dyDescent="0.2">
      <c r="A305" s="137"/>
      <c r="B305" s="137"/>
      <c r="C305" s="137"/>
      <c r="D305" s="137"/>
      <c r="E305" s="137"/>
      <c r="F305" s="137"/>
      <c r="G305" s="137"/>
      <c r="H305" s="137"/>
      <c r="I305" s="137"/>
      <c r="J305" s="137"/>
      <c r="K305" s="137"/>
      <c r="L305" s="137"/>
      <c r="M305" s="137"/>
      <c r="N305" s="137"/>
      <c r="O305" s="137"/>
      <c r="P305" s="137"/>
      <c r="Q305" s="137"/>
      <c r="R305" s="137"/>
      <c r="S305" s="137"/>
      <c r="T305" s="137"/>
      <c r="U305" s="137"/>
      <c r="V305" s="137"/>
      <c r="W305" s="137"/>
    </row>
    <row r="306" spans="1:23" x14ac:dyDescent="0.2">
      <c r="A306" s="137"/>
      <c r="B306" s="137"/>
      <c r="C306" s="137"/>
      <c r="D306" s="137"/>
      <c r="E306" s="137"/>
      <c r="F306" s="137"/>
      <c r="G306" s="137"/>
      <c r="H306" s="137"/>
      <c r="I306" s="137"/>
      <c r="J306" s="137"/>
      <c r="K306" s="137"/>
      <c r="L306" s="137"/>
      <c r="M306" s="137"/>
      <c r="N306" s="137"/>
      <c r="O306" s="137"/>
      <c r="P306" s="137"/>
      <c r="Q306" s="137"/>
      <c r="R306" s="137"/>
      <c r="S306" s="137"/>
      <c r="T306" s="137"/>
      <c r="U306" s="137"/>
      <c r="V306" s="137"/>
      <c r="W306" s="137"/>
    </row>
    <row r="307" spans="1:23" x14ac:dyDescent="0.2">
      <c r="A307" s="137"/>
      <c r="B307" s="137"/>
      <c r="C307" s="137"/>
      <c r="D307" s="137"/>
      <c r="E307" s="137"/>
      <c r="F307" s="137"/>
      <c r="G307" s="137"/>
      <c r="H307" s="137"/>
      <c r="I307" s="137"/>
      <c r="J307" s="137"/>
      <c r="K307" s="137"/>
      <c r="L307" s="137"/>
      <c r="M307" s="137"/>
      <c r="N307" s="137"/>
      <c r="O307" s="137"/>
      <c r="P307" s="137"/>
      <c r="Q307" s="137"/>
      <c r="R307" s="137"/>
      <c r="S307" s="137"/>
      <c r="T307" s="137"/>
      <c r="U307" s="137"/>
      <c r="V307" s="137"/>
      <c r="W307" s="137"/>
    </row>
    <row r="308" spans="1:23" x14ac:dyDescent="0.2">
      <c r="A308" s="137"/>
      <c r="B308" s="137"/>
      <c r="C308" s="137"/>
      <c r="D308" s="137"/>
      <c r="E308" s="137"/>
      <c r="F308" s="137"/>
      <c r="G308" s="137"/>
      <c r="H308" s="137"/>
      <c r="I308" s="137"/>
      <c r="J308" s="137"/>
      <c r="K308" s="137"/>
      <c r="L308" s="137"/>
      <c r="M308" s="137"/>
      <c r="N308" s="137"/>
      <c r="O308" s="137"/>
      <c r="P308" s="137"/>
      <c r="Q308" s="137"/>
      <c r="R308" s="137"/>
      <c r="S308" s="137"/>
      <c r="T308" s="137"/>
      <c r="U308" s="137"/>
      <c r="V308" s="137"/>
      <c r="W308" s="137"/>
    </row>
    <row r="309" spans="1:23" x14ac:dyDescent="0.2">
      <c r="A309" s="137"/>
      <c r="B309" s="137"/>
      <c r="C309" s="137"/>
      <c r="D309" s="137"/>
      <c r="E309" s="137"/>
      <c r="F309" s="137"/>
      <c r="G309" s="137"/>
      <c r="H309" s="137"/>
      <c r="I309" s="137"/>
      <c r="J309" s="137"/>
      <c r="K309" s="137"/>
      <c r="L309" s="137"/>
      <c r="M309" s="137"/>
      <c r="N309" s="137"/>
      <c r="O309" s="137"/>
      <c r="P309" s="137"/>
      <c r="Q309" s="137"/>
      <c r="R309" s="137"/>
      <c r="S309" s="137"/>
      <c r="T309" s="137"/>
      <c r="U309" s="137"/>
      <c r="V309" s="137"/>
      <c r="W309" s="137"/>
    </row>
    <row r="310" spans="1:23" x14ac:dyDescent="0.2">
      <c r="A310" s="137"/>
      <c r="B310" s="137"/>
      <c r="C310" s="137"/>
      <c r="D310" s="137"/>
      <c r="E310" s="137"/>
      <c r="F310" s="137"/>
      <c r="G310" s="137"/>
      <c r="H310" s="137"/>
      <c r="I310" s="137"/>
      <c r="J310" s="137"/>
      <c r="K310" s="137"/>
      <c r="L310" s="137"/>
      <c r="M310" s="137"/>
      <c r="N310" s="137"/>
      <c r="O310" s="137"/>
      <c r="P310" s="137"/>
      <c r="Q310" s="137"/>
      <c r="R310" s="137"/>
      <c r="S310" s="137"/>
      <c r="T310" s="137"/>
      <c r="U310" s="137"/>
      <c r="V310" s="137"/>
      <c r="W310" s="137"/>
    </row>
    <row r="311" spans="1:23" x14ac:dyDescent="0.2">
      <c r="A311" s="137"/>
      <c r="B311" s="137"/>
      <c r="C311" s="137"/>
      <c r="D311" s="137"/>
      <c r="E311" s="137"/>
      <c r="F311" s="137"/>
      <c r="G311" s="137"/>
      <c r="H311" s="137"/>
      <c r="I311" s="137"/>
      <c r="J311" s="137"/>
      <c r="K311" s="137"/>
      <c r="L311" s="137"/>
      <c r="M311" s="137"/>
      <c r="N311" s="137"/>
      <c r="O311" s="137"/>
      <c r="P311" s="137"/>
      <c r="Q311" s="137"/>
      <c r="R311" s="137"/>
      <c r="S311" s="137"/>
      <c r="T311" s="137"/>
      <c r="U311" s="137"/>
      <c r="V311" s="137"/>
      <c r="W311" s="137"/>
    </row>
    <row r="312" spans="1:23" x14ac:dyDescent="0.2">
      <c r="A312" s="137"/>
      <c r="B312" s="137"/>
      <c r="C312" s="137"/>
      <c r="D312" s="137"/>
      <c r="E312" s="137"/>
      <c r="F312" s="137"/>
      <c r="G312" s="137"/>
      <c r="H312" s="137"/>
      <c r="I312" s="137"/>
      <c r="J312" s="137"/>
      <c r="K312" s="137"/>
      <c r="L312" s="137"/>
      <c r="M312" s="137"/>
      <c r="N312" s="137"/>
      <c r="O312" s="137"/>
      <c r="P312" s="137"/>
      <c r="Q312" s="137"/>
      <c r="R312" s="137"/>
      <c r="S312" s="137"/>
      <c r="T312" s="137"/>
      <c r="U312" s="137"/>
      <c r="V312" s="137"/>
      <c r="W312" s="137"/>
    </row>
    <row r="313" spans="1:23" x14ac:dyDescent="0.2">
      <c r="A313" s="137"/>
      <c r="B313" s="137"/>
      <c r="C313" s="137"/>
      <c r="D313" s="137"/>
      <c r="E313" s="137"/>
      <c r="F313" s="137"/>
      <c r="G313" s="137"/>
      <c r="H313" s="137"/>
      <c r="I313" s="137"/>
      <c r="J313" s="137"/>
      <c r="K313" s="137"/>
      <c r="L313" s="137"/>
      <c r="M313" s="137"/>
      <c r="N313" s="137"/>
      <c r="O313" s="137"/>
      <c r="P313" s="137"/>
      <c r="Q313" s="137"/>
      <c r="R313" s="137"/>
      <c r="S313" s="137"/>
      <c r="T313" s="137"/>
      <c r="U313" s="137"/>
      <c r="V313" s="137"/>
      <c r="W313" s="137"/>
    </row>
    <row r="314" spans="1:23" x14ac:dyDescent="0.2">
      <c r="A314" s="137"/>
      <c r="B314" s="137"/>
      <c r="C314" s="137"/>
      <c r="D314" s="137"/>
      <c r="E314" s="137"/>
      <c r="F314" s="137"/>
      <c r="G314" s="137"/>
      <c r="H314" s="137"/>
      <c r="I314" s="137"/>
      <c r="J314" s="137"/>
      <c r="K314" s="137"/>
      <c r="L314" s="137"/>
      <c r="M314" s="137"/>
      <c r="N314" s="137"/>
      <c r="O314" s="137"/>
      <c r="P314" s="137"/>
      <c r="Q314" s="137"/>
      <c r="R314" s="137"/>
      <c r="S314" s="137"/>
      <c r="T314" s="137"/>
      <c r="U314" s="137"/>
      <c r="V314" s="137"/>
      <c r="W314" s="137"/>
    </row>
    <row r="315" spans="1:23" x14ac:dyDescent="0.2">
      <c r="A315" s="137"/>
      <c r="B315" s="137"/>
      <c r="C315" s="137"/>
      <c r="D315" s="137"/>
      <c r="E315" s="137"/>
      <c r="F315" s="137"/>
      <c r="G315" s="137"/>
      <c r="H315" s="137"/>
      <c r="I315" s="137"/>
      <c r="J315" s="137"/>
      <c r="K315" s="137"/>
      <c r="L315" s="137"/>
      <c r="M315" s="137"/>
      <c r="N315" s="137"/>
      <c r="O315" s="137"/>
      <c r="P315" s="137"/>
      <c r="Q315" s="137"/>
      <c r="R315" s="137"/>
      <c r="S315" s="137"/>
      <c r="T315" s="137"/>
      <c r="U315" s="137"/>
      <c r="V315" s="137"/>
      <c r="W315" s="137"/>
    </row>
    <row r="316" spans="1:23" x14ac:dyDescent="0.2">
      <c r="A316" s="137"/>
      <c r="B316" s="137"/>
      <c r="C316" s="137"/>
      <c r="D316" s="137"/>
      <c r="E316" s="137"/>
      <c r="F316" s="137"/>
      <c r="G316" s="137"/>
      <c r="H316" s="137"/>
      <c r="I316" s="137"/>
      <c r="J316" s="137"/>
      <c r="K316" s="137"/>
      <c r="L316" s="137"/>
      <c r="M316" s="137"/>
      <c r="N316" s="137"/>
      <c r="O316" s="137"/>
      <c r="P316" s="137"/>
      <c r="Q316" s="137"/>
      <c r="R316" s="137"/>
      <c r="S316" s="137"/>
      <c r="T316" s="137"/>
      <c r="U316" s="137"/>
      <c r="V316" s="137"/>
      <c r="W316" s="137"/>
    </row>
    <row r="317" spans="1:23" x14ac:dyDescent="0.2">
      <c r="A317" s="137"/>
      <c r="B317" s="137"/>
      <c r="C317" s="137"/>
      <c r="D317" s="137"/>
      <c r="E317" s="137"/>
      <c r="F317" s="137"/>
      <c r="G317" s="137"/>
      <c r="H317" s="137"/>
      <c r="I317" s="137"/>
      <c r="J317" s="137"/>
      <c r="K317" s="137"/>
      <c r="L317" s="137"/>
      <c r="M317" s="137"/>
      <c r="N317" s="137"/>
      <c r="O317" s="137"/>
      <c r="P317" s="137"/>
      <c r="Q317" s="137"/>
      <c r="R317" s="137"/>
      <c r="S317" s="137"/>
      <c r="T317" s="137"/>
      <c r="U317" s="137"/>
      <c r="V317" s="137"/>
      <c r="W317" s="137"/>
    </row>
    <row r="318" spans="1:23" x14ac:dyDescent="0.2">
      <c r="A318" s="137"/>
      <c r="B318" s="137"/>
      <c r="C318" s="137"/>
      <c r="D318" s="137"/>
      <c r="E318" s="137"/>
      <c r="F318" s="137"/>
      <c r="G318" s="137"/>
      <c r="H318" s="137"/>
      <c r="I318" s="137"/>
      <c r="J318" s="137"/>
      <c r="K318" s="137"/>
      <c r="L318" s="137"/>
      <c r="M318" s="137"/>
      <c r="N318" s="137"/>
      <c r="O318" s="137"/>
      <c r="P318" s="137"/>
      <c r="Q318" s="137"/>
      <c r="R318" s="137"/>
      <c r="S318" s="137"/>
      <c r="T318" s="137"/>
      <c r="U318" s="137"/>
      <c r="V318" s="137"/>
      <c r="W318" s="137"/>
    </row>
    <row r="319" spans="1:23" x14ac:dyDescent="0.2">
      <c r="A319" s="137"/>
      <c r="B319" s="137"/>
      <c r="C319" s="137"/>
      <c r="D319" s="137"/>
      <c r="E319" s="137"/>
      <c r="F319" s="137"/>
      <c r="G319" s="137"/>
      <c r="H319" s="137"/>
      <c r="I319" s="137"/>
      <c r="J319" s="137"/>
      <c r="K319" s="137"/>
      <c r="L319" s="137"/>
      <c r="M319" s="137"/>
      <c r="N319" s="137"/>
      <c r="O319" s="137"/>
      <c r="P319" s="137"/>
      <c r="Q319" s="137"/>
      <c r="R319" s="137"/>
      <c r="S319" s="137"/>
      <c r="T319" s="137"/>
      <c r="U319" s="137"/>
      <c r="V319" s="137"/>
      <c r="W319" s="137"/>
    </row>
    <row r="320" spans="1:23" x14ac:dyDescent="0.2">
      <c r="A320" s="137"/>
      <c r="B320" s="137"/>
      <c r="C320" s="137"/>
      <c r="D320" s="137"/>
      <c r="E320" s="137"/>
      <c r="F320" s="137"/>
      <c r="G320" s="137"/>
      <c r="H320" s="137"/>
      <c r="I320" s="137"/>
      <c r="J320" s="137"/>
      <c r="K320" s="137"/>
      <c r="L320" s="137"/>
      <c r="M320" s="137"/>
      <c r="N320" s="137"/>
      <c r="O320" s="137"/>
      <c r="P320" s="137"/>
      <c r="Q320" s="137"/>
      <c r="R320" s="137"/>
      <c r="S320" s="137"/>
      <c r="T320" s="137"/>
      <c r="U320" s="137"/>
      <c r="V320" s="137"/>
      <c r="W320" s="137"/>
    </row>
    <row r="321" spans="1:23" x14ac:dyDescent="0.2">
      <c r="A321" s="137"/>
      <c r="B321" s="137"/>
      <c r="C321" s="137"/>
      <c r="D321" s="137"/>
      <c r="E321" s="137"/>
      <c r="F321" s="137"/>
      <c r="G321" s="137"/>
      <c r="H321" s="137"/>
      <c r="I321" s="137"/>
      <c r="J321" s="137"/>
      <c r="K321" s="137"/>
      <c r="L321" s="137"/>
      <c r="M321" s="137"/>
      <c r="N321" s="137"/>
      <c r="O321" s="137"/>
      <c r="P321" s="137"/>
      <c r="Q321" s="137"/>
      <c r="R321" s="137"/>
      <c r="S321" s="137"/>
      <c r="T321" s="137"/>
      <c r="U321" s="137"/>
      <c r="V321" s="137"/>
      <c r="W321" s="137"/>
    </row>
    <row r="322" spans="1:23" x14ac:dyDescent="0.2">
      <c r="A322" s="137"/>
      <c r="B322" s="137"/>
      <c r="C322" s="137"/>
      <c r="D322" s="137"/>
      <c r="E322" s="137"/>
      <c r="F322" s="137"/>
      <c r="G322" s="137"/>
      <c r="H322" s="137"/>
      <c r="I322" s="137"/>
      <c r="J322" s="137"/>
      <c r="K322" s="137"/>
      <c r="L322" s="137"/>
      <c r="M322" s="137"/>
      <c r="N322" s="137"/>
      <c r="O322" s="137"/>
      <c r="P322" s="137"/>
      <c r="Q322" s="137"/>
      <c r="R322" s="137"/>
      <c r="S322" s="137"/>
      <c r="T322" s="137"/>
      <c r="U322" s="137"/>
      <c r="V322" s="137"/>
      <c r="W322" s="137"/>
    </row>
    <row r="323" spans="1:23" x14ac:dyDescent="0.2">
      <c r="A323" s="137"/>
      <c r="B323" s="137"/>
      <c r="C323" s="137"/>
      <c r="D323" s="137"/>
      <c r="E323" s="137"/>
      <c r="F323" s="137"/>
      <c r="G323" s="137"/>
      <c r="H323" s="137"/>
      <c r="I323" s="137"/>
      <c r="J323" s="137"/>
      <c r="K323" s="137"/>
      <c r="L323" s="137"/>
      <c r="M323" s="137"/>
      <c r="N323" s="137"/>
      <c r="O323" s="137"/>
      <c r="P323" s="137"/>
      <c r="Q323" s="137"/>
      <c r="R323" s="137"/>
      <c r="S323" s="137"/>
      <c r="T323" s="137"/>
      <c r="U323" s="137"/>
      <c r="V323" s="137"/>
      <c r="W323" s="137"/>
    </row>
    <row r="324" spans="1:23" x14ac:dyDescent="0.2">
      <c r="A324" s="137"/>
      <c r="B324" s="137"/>
      <c r="C324" s="137"/>
      <c r="D324" s="137"/>
      <c r="E324" s="137"/>
      <c r="F324" s="137"/>
      <c r="G324" s="137"/>
      <c r="H324" s="137"/>
      <c r="I324" s="137"/>
      <c r="J324" s="137"/>
      <c r="K324" s="137"/>
      <c r="L324" s="137"/>
      <c r="M324" s="137"/>
      <c r="N324" s="137"/>
      <c r="O324" s="137"/>
      <c r="P324" s="137"/>
      <c r="Q324" s="137"/>
      <c r="R324" s="137"/>
      <c r="S324" s="137"/>
      <c r="T324" s="137"/>
      <c r="U324" s="137"/>
      <c r="V324" s="137"/>
      <c r="W324" s="137"/>
    </row>
    <row r="325" spans="1:23" x14ac:dyDescent="0.2">
      <c r="A325" s="137"/>
      <c r="B325" s="137"/>
      <c r="C325" s="137"/>
      <c r="D325" s="137"/>
      <c r="E325" s="137"/>
      <c r="F325" s="137"/>
      <c r="G325" s="137"/>
      <c r="H325" s="137"/>
      <c r="I325" s="137"/>
      <c r="J325" s="137"/>
      <c r="K325" s="137"/>
      <c r="L325" s="137"/>
      <c r="M325" s="137"/>
      <c r="N325" s="137"/>
      <c r="O325" s="137"/>
      <c r="P325" s="137"/>
      <c r="Q325" s="137"/>
      <c r="R325" s="137"/>
      <c r="S325" s="137"/>
      <c r="T325" s="137"/>
      <c r="U325" s="137"/>
      <c r="V325" s="137"/>
      <c r="W325" s="137"/>
    </row>
    <row r="326" spans="1:23" x14ac:dyDescent="0.2">
      <c r="A326" s="137"/>
      <c r="B326" s="137"/>
      <c r="C326" s="137"/>
      <c r="D326" s="137"/>
      <c r="E326" s="137"/>
      <c r="F326" s="137"/>
      <c r="G326" s="137"/>
      <c r="H326" s="137"/>
      <c r="I326" s="137"/>
      <c r="J326" s="137"/>
      <c r="K326" s="137"/>
      <c r="L326" s="137"/>
      <c r="M326" s="137"/>
      <c r="N326" s="137"/>
      <c r="O326" s="137"/>
      <c r="P326" s="137"/>
      <c r="Q326" s="137"/>
      <c r="R326" s="137"/>
      <c r="S326" s="137"/>
      <c r="T326" s="137"/>
      <c r="U326" s="137"/>
      <c r="V326" s="137"/>
      <c r="W326" s="137"/>
    </row>
    <row r="327" spans="1:23" x14ac:dyDescent="0.2">
      <c r="A327" s="137"/>
      <c r="B327" s="137"/>
      <c r="C327" s="137"/>
      <c r="D327" s="137"/>
      <c r="E327" s="137"/>
      <c r="F327" s="137"/>
      <c r="G327" s="137"/>
      <c r="H327" s="137"/>
      <c r="I327" s="137"/>
      <c r="J327" s="137"/>
      <c r="K327" s="137"/>
      <c r="L327" s="137"/>
      <c r="M327" s="137"/>
      <c r="N327" s="137"/>
      <c r="O327" s="137"/>
      <c r="P327" s="137"/>
      <c r="Q327" s="137"/>
      <c r="R327" s="137"/>
      <c r="S327" s="137"/>
      <c r="T327" s="137"/>
      <c r="U327" s="137"/>
      <c r="V327" s="137"/>
      <c r="W327" s="137"/>
    </row>
    <row r="328" spans="1:23" x14ac:dyDescent="0.2">
      <c r="A328" s="137"/>
      <c r="B328" s="137"/>
      <c r="C328" s="137"/>
      <c r="D328" s="137"/>
      <c r="E328" s="137"/>
      <c r="F328" s="137"/>
      <c r="G328" s="137"/>
      <c r="H328" s="137"/>
      <c r="I328" s="137"/>
      <c r="J328" s="137"/>
      <c r="K328" s="137"/>
      <c r="L328" s="137"/>
      <c r="M328" s="137"/>
      <c r="N328" s="137"/>
      <c r="O328" s="137"/>
      <c r="P328" s="137"/>
      <c r="Q328" s="137"/>
      <c r="R328" s="137"/>
      <c r="S328" s="137"/>
      <c r="T328" s="137"/>
      <c r="U328" s="137"/>
      <c r="V328" s="137"/>
      <c r="W328" s="137"/>
    </row>
    <row r="329" spans="1:23" x14ac:dyDescent="0.2">
      <c r="A329" s="137"/>
      <c r="B329" s="137"/>
      <c r="C329" s="137"/>
      <c r="D329" s="137"/>
      <c r="E329" s="137"/>
      <c r="F329" s="137"/>
      <c r="G329" s="137"/>
      <c r="H329" s="137"/>
      <c r="I329" s="137"/>
      <c r="J329" s="137"/>
      <c r="K329" s="137"/>
      <c r="L329" s="137"/>
      <c r="M329" s="137"/>
      <c r="N329" s="137"/>
      <c r="O329" s="137"/>
      <c r="P329" s="137"/>
      <c r="Q329" s="137"/>
      <c r="R329" s="137"/>
      <c r="S329" s="137"/>
      <c r="T329" s="137"/>
      <c r="U329" s="137"/>
      <c r="V329" s="137"/>
      <c r="W329" s="137"/>
    </row>
    <row r="330" spans="1:23" x14ac:dyDescent="0.2">
      <c r="A330" s="137"/>
      <c r="B330" s="137"/>
      <c r="C330" s="137"/>
      <c r="D330" s="137"/>
      <c r="E330" s="137"/>
      <c r="F330" s="137"/>
      <c r="G330" s="137"/>
      <c r="H330" s="137"/>
      <c r="I330" s="137"/>
      <c r="J330" s="137"/>
      <c r="K330" s="137"/>
      <c r="L330" s="137"/>
      <c r="M330" s="137"/>
      <c r="N330" s="137"/>
      <c r="O330" s="137"/>
      <c r="P330" s="137"/>
      <c r="Q330" s="137"/>
      <c r="R330" s="137"/>
      <c r="S330" s="137"/>
      <c r="T330" s="137"/>
      <c r="U330" s="137"/>
      <c r="V330" s="137"/>
      <c r="W330" s="137"/>
    </row>
    <row r="331" spans="1:23" x14ac:dyDescent="0.2">
      <c r="A331" s="137"/>
      <c r="B331" s="137"/>
      <c r="C331" s="137"/>
      <c r="D331" s="137"/>
      <c r="E331" s="137"/>
      <c r="F331" s="137"/>
      <c r="G331" s="137"/>
      <c r="H331" s="137"/>
      <c r="I331" s="137"/>
      <c r="J331" s="137"/>
      <c r="K331" s="137"/>
      <c r="L331" s="137"/>
      <c r="M331" s="137"/>
      <c r="N331" s="137"/>
      <c r="O331" s="137"/>
      <c r="P331" s="137"/>
      <c r="Q331" s="137"/>
      <c r="R331" s="137"/>
      <c r="S331" s="137"/>
      <c r="T331" s="137"/>
      <c r="U331" s="137"/>
      <c r="V331" s="137"/>
      <c r="W331" s="137"/>
    </row>
    <row r="332" spans="1:23" x14ac:dyDescent="0.2">
      <c r="A332" s="137"/>
      <c r="B332" s="137"/>
      <c r="C332" s="137"/>
      <c r="D332" s="137"/>
      <c r="E332" s="137"/>
      <c r="F332" s="137"/>
      <c r="G332" s="137"/>
      <c r="H332" s="137"/>
      <c r="I332" s="137"/>
      <c r="J332" s="137"/>
      <c r="K332" s="137"/>
      <c r="L332" s="137"/>
      <c r="M332" s="137"/>
      <c r="N332" s="137"/>
      <c r="O332" s="137"/>
      <c r="P332" s="137"/>
      <c r="Q332" s="137"/>
      <c r="R332" s="137"/>
      <c r="S332" s="137"/>
      <c r="T332" s="137"/>
      <c r="U332" s="137"/>
      <c r="V332" s="137"/>
      <c r="W332" s="137"/>
    </row>
    <row r="333" spans="1:23" x14ac:dyDescent="0.2">
      <c r="A333" s="137"/>
      <c r="B333" s="137"/>
      <c r="C333" s="137"/>
      <c r="D333" s="137"/>
      <c r="E333" s="137"/>
      <c r="F333" s="137"/>
      <c r="G333" s="137"/>
      <c r="H333" s="137"/>
      <c r="I333" s="137"/>
      <c r="J333" s="137"/>
      <c r="K333" s="137"/>
      <c r="L333" s="137"/>
      <c r="M333" s="137"/>
      <c r="N333" s="137"/>
      <c r="O333" s="137"/>
      <c r="P333" s="137"/>
      <c r="Q333" s="137"/>
      <c r="R333" s="137"/>
      <c r="S333" s="137"/>
      <c r="T333" s="137"/>
      <c r="U333" s="137"/>
      <c r="V333" s="137"/>
      <c r="W333" s="137"/>
    </row>
    <row r="334" spans="1:23" x14ac:dyDescent="0.2">
      <c r="A334" s="137"/>
      <c r="B334" s="137"/>
      <c r="C334" s="137"/>
      <c r="D334" s="137"/>
      <c r="E334" s="137"/>
      <c r="F334" s="137"/>
      <c r="G334" s="137"/>
      <c r="H334" s="137"/>
      <c r="I334" s="137"/>
      <c r="J334" s="137"/>
      <c r="K334" s="137"/>
      <c r="L334" s="137"/>
      <c r="M334" s="137"/>
      <c r="N334" s="137"/>
      <c r="O334" s="137"/>
      <c r="P334" s="137"/>
      <c r="Q334" s="137"/>
      <c r="R334" s="137"/>
      <c r="S334" s="137"/>
      <c r="T334" s="137"/>
      <c r="U334" s="137"/>
      <c r="V334" s="137"/>
      <c r="W334" s="137"/>
    </row>
    <row r="335" spans="1:23" x14ac:dyDescent="0.2">
      <c r="A335" s="137"/>
      <c r="B335" s="137"/>
      <c r="C335" s="137"/>
      <c r="D335" s="137"/>
      <c r="E335" s="137"/>
      <c r="F335" s="137"/>
      <c r="G335" s="137"/>
      <c r="H335" s="137"/>
      <c r="I335" s="137"/>
      <c r="J335" s="137"/>
      <c r="K335" s="137"/>
      <c r="L335" s="137"/>
      <c r="M335" s="137"/>
      <c r="N335" s="137"/>
      <c r="O335" s="137"/>
      <c r="P335" s="137"/>
      <c r="Q335" s="137"/>
      <c r="R335" s="137"/>
      <c r="S335" s="137"/>
      <c r="T335" s="137"/>
      <c r="U335" s="137"/>
      <c r="V335" s="137"/>
      <c r="W335" s="137"/>
    </row>
    <row r="336" spans="1:23" x14ac:dyDescent="0.2">
      <c r="A336" s="137"/>
      <c r="B336" s="137"/>
      <c r="C336" s="137"/>
      <c r="D336" s="137"/>
      <c r="E336" s="137"/>
      <c r="F336" s="137"/>
      <c r="G336" s="137"/>
      <c r="H336" s="137"/>
      <c r="I336" s="137"/>
      <c r="J336" s="137"/>
      <c r="K336" s="137"/>
      <c r="L336" s="137"/>
      <c r="M336" s="137"/>
      <c r="N336" s="137"/>
      <c r="O336" s="137"/>
      <c r="P336" s="137"/>
      <c r="Q336" s="137"/>
      <c r="R336" s="137"/>
      <c r="S336" s="137"/>
      <c r="T336" s="137"/>
      <c r="U336" s="137"/>
      <c r="V336" s="137"/>
      <c r="W336" s="137"/>
    </row>
    <row r="337" spans="1:23" x14ac:dyDescent="0.2">
      <c r="A337" s="137"/>
      <c r="B337" s="137"/>
      <c r="C337" s="137"/>
      <c r="D337" s="137"/>
      <c r="E337" s="137"/>
      <c r="F337" s="137"/>
      <c r="G337" s="137"/>
      <c r="H337" s="137"/>
      <c r="I337" s="137"/>
      <c r="J337" s="137"/>
      <c r="K337" s="137"/>
      <c r="L337" s="137"/>
      <c r="M337" s="137"/>
      <c r="N337" s="137"/>
      <c r="O337" s="137"/>
      <c r="P337" s="137"/>
      <c r="Q337" s="137"/>
      <c r="R337" s="137"/>
      <c r="S337" s="137"/>
      <c r="T337" s="137"/>
      <c r="U337" s="137"/>
      <c r="V337" s="137"/>
      <c r="W337" s="137"/>
    </row>
    <row r="338" spans="1:23" x14ac:dyDescent="0.2">
      <c r="A338" s="137"/>
      <c r="B338" s="137"/>
      <c r="C338" s="137"/>
      <c r="D338" s="137"/>
      <c r="E338" s="137"/>
      <c r="F338" s="137"/>
      <c r="G338" s="137"/>
      <c r="H338" s="137"/>
      <c r="I338" s="137"/>
      <c r="J338" s="137"/>
      <c r="K338" s="137"/>
      <c r="L338" s="137"/>
      <c r="M338" s="137"/>
      <c r="N338" s="137"/>
      <c r="O338" s="137"/>
      <c r="P338" s="137"/>
      <c r="Q338" s="137"/>
      <c r="R338" s="137"/>
      <c r="S338" s="137"/>
      <c r="T338" s="137"/>
      <c r="U338" s="137"/>
      <c r="V338" s="137"/>
      <c r="W338" s="137"/>
    </row>
    <row r="339" spans="1:23" x14ac:dyDescent="0.2">
      <c r="A339" s="137"/>
      <c r="B339" s="137"/>
      <c r="C339" s="137"/>
      <c r="D339" s="137"/>
      <c r="E339" s="137"/>
      <c r="F339" s="137"/>
      <c r="G339" s="137"/>
      <c r="H339" s="137"/>
      <c r="I339" s="137"/>
      <c r="J339" s="137"/>
      <c r="K339" s="137"/>
      <c r="L339" s="137"/>
      <c r="M339" s="137"/>
      <c r="N339" s="137"/>
      <c r="O339" s="137"/>
      <c r="P339" s="137"/>
      <c r="Q339" s="137"/>
      <c r="R339" s="137"/>
      <c r="S339" s="137"/>
      <c r="T339" s="137"/>
      <c r="U339" s="137"/>
      <c r="V339" s="137"/>
      <c r="W339" s="137"/>
    </row>
    <row r="340" spans="1:23" x14ac:dyDescent="0.2">
      <c r="A340" s="137"/>
      <c r="B340" s="137"/>
      <c r="C340" s="137"/>
      <c r="D340" s="137"/>
      <c r="E340" s="137"/>
      <c r="F340" s="137"/>
      <c r="G340" s="137"/>
      <c r="H340" s="137"/>
      <c r="I340" s="137"/>
      <c r="J340" s="137"/>
      <c r="K340" s="137"/>
      <c r="L340" s="137"/>
      <c r="M340" s="137"/>
      <c r="N340" s="137"/>
      <c r="O340" s="137"/>
      <c r="P340" s="137"/>
      <c r="Q340" s="137"/>
      <c r="R340" s="137"/>
      <c r="S340" s="137"/>
      <c r="T340" s="137"/>
      <c r="U340" s="137"/>
      <c r="V340" s="137"/>
      <c r="W340" s="137"/>
    </row>
    <row r="341" spans="1:23" x14ac:dyDescent="0.2">
      <c r="A341" s="137"/>
      <c r="B341" s="137"/>
      <c r="C341" s="137"/>
      <c r="D341" s="137"/>
      <c r="E341" s="137"/>
      <c r="F341" s="137"/>
      <c r="G341" s="137"/>
      <c r="H341" s="137"/>
      <c r="I341" s="137"/>
      <c r="J341" s="137"/>
      <c r="K341" s="137"/>
      <c r="L341" s="137"/>
      <c r="M341" s="137"/>
      <c r="N341" s="137"/>
      <c r="O341" s="137"/>
      <c r="P341" s="137"/>
      <c r="Q341" s="137"/>
      <c r="R341" s="137"/>
      <c r="S341" s="137"/>
      <c r="T341" s="137"/>
      <c r="U341" s="137"/>
      <c r="V341" s="137"/>
      <c r="W341" s="137"/>
    </row>
    <row r="342" spans="1:23" x14ac:dyDescent="0.2">
      <c r="A342" s="137"/>
      <c r="B342" s="137"/>
      <c r="C342" s="137"/>
      <c r="D342" s="137"/>
      <c r="E342" s="137"/>
      <c r="F342" s="137"/>
      <c r="G342" s="137"/>
      <c r="H342" s="137"/>
      <c r="I342" s="137"/>
      <c r="J342" s="137"/>
      <c r="K342" s="137"/>
      <c r="L342" s="137"/>
      <c r="M342" s="137"/>
      <c r="N342" s="137"/>
      <c r="O342" s="137"/>
      <c r="P342" s="137"/>
      <c r="Q342" s="137"/>
      <c r="R342" s="137"/>
      <c r="S342" s="137"/>
      <c r="T342" s="137"/>
      <c r="U342" s="137"/>
      <c r="V342" s="137"/>
      <c r="W342" s="137"/>
    </row>
    <row r="343" spans="1:23" x14ac:dyDescent="0.2">
      <c r="A343" s="137"/>
      <c r="B343" s="137"/>
      <c r="C343" s="137"/>
      <c r="D343" s="137"/>
      <c r="E343" s="137"/>
      <c r="F343" s="137"/>
      <c r="G343" s="137"/>
      <c r="H343" s="137"/>
      <c r="I343" s="137"/>
      <c r="J343" s="137"/>
      <c r="K343" s="137"/>
      <c r="L343" s="137"/>
      <c r="M343" s="137"/>
      <c r="N343" s="137"/>
      <c r="O343" s="137"/>
      <c r="P343" s="137"/>
      <c r="Q343" s="137"/>
      <c r="R343" s="137"/>
      <c r="S343" s="137"/>
      <c r="T343" s="137"/>
      <c r="U343" s="137"/>
      <c r="V343" s="137"/>
      <c r="W343" s="137"/>
    </row>
    <row r="344" spans="1:23" x14ac:dyDescent="0.2">
      <c r="A344" s="137"/>
      <c r="B344" s="137"/>
      <c r="C344" s="137"/>
      <c r="D344" s="137"/>
      <c r="E344" s="137"/>
      <c r="F344" s="137"/>
      <c r="G344" s="137"/>
      <c r="H344" s="137"/>
      <c r="I344" s="137"/>
      <c r="J344" s="137"/>
      <c r="K344" s="137"/>
      <c r="L344" s="137"/>
      <c r="M344" s="137"/>
      <c r="N344" s="137"/>
      <c r="O344" s="137"/>
      <c r="P344" s="137"/>
      <c r="Q344" s="137"/>
      <c r="R344" s="137"/>
      <c r="S344" s="137"/>
      <c r="T344" s="137"/>
      <c r="U344" s="137"/>
      <c r="V344" s="137"/>
      <c r="W344" s="137"/>
    </row>
    <row r="345" spans="1:23" x14ac:dyDescent="0.2">
      <c r="A345" s="137"/>
      <c r="B345" s="137"/>
      <c r="C345" s="137"/>
      <c r="D345" s="137"/>
      <c r="E345" s="137"/>
      <c r="F345" s="137"/>
      <c r="G345" s="137"/>
      <c r="H345" s="137"/>
      <c r="I345" s="137"/>
      <c r="J345" s="137"/>
      <c r="K345" s="137"/>
      <c r="L345" s="137"/>
      <c r="M345" s="137"/>
      <c r="N345" s="137"/>
      <c r="O345" s="137"/>
      <c r="P345" s="137"/>
      <c r="Q345" s="137"/>
      <c r="R345" s="137"/>
      <c r="S345" s="137"/>
      <c r="T345" s="137"/>
      <c r="U345" s="137"/>
      <c r="V345" s="137"/>
      <c r="W345" s="137"/>
    </row>
    <row r="346" spans="1:23" x14ac:dyDescent="0.2">
      <c r="A346" s="137"/>
      <c r="B346" s="137"/>
      <c r="C346" s="137"/>
      <c r="D346" s="137"/>
      <c r="E346" s="137"/>
      <c r="F346" s="137"/>
      <c r="G346" s="137"/>
      <c r="H346" s="137"/>
      <c r="I346" s="137"/>
      <c r="J346" s="137"/>
      <c r="K346" s="137"/>
      <c r="L346" s="137"/>
      <c r="M346" s="137"/>
      <c r="N346" s="137"/>
      <c r="O346" s="137"/>
      <c r="P346" s="137"/>
      <c r="Q346" s="137"/>
      <c r="R346" s="137"/>
      <c r="S346" s="137"/>
      <c r="T346" s="137"/>
      <c r="U346" s="137"/>
      <c r="V346" s="137"/>
      <c r="W346" s="137"/>
    </row>
    <row r="347" spans="1:23" x14ac:dyDescent="0.2">
      <c r="A347" s="137"/>
      <c r="B347" s="137"/>
      <c r="C347" s="137"/>
      <c r="D347" s="137"/>
      <c r="E347" s="137"/>
      <c r="F347" s="137"/>
      <c r="G347" s="137"/>
      <c r="H347" s="137"/>
      <c r="I347" s="137"/>
      <c r="J347" s="137"/>
      <c r="K347" s="137"/>
      <c r="L347" s="137"/>
      <c r="M347" s="137"/>
      <c r="N347" s="137"/>
      <c r="O347" s="137"/>
      <c r="P347" s="137"/>
      <c r="Q347" s="137"/>
      <c r="R347" s="137"/>
      <c r="S347" s="137"/>
      <c r="T347" s="137"/>
      <c r="U347" s="137"/>
      <c r="V347" s="137"/>
      <c r="W347" s="137"/>
    </row>
    <row r="348" spans="1:23" x14ac:dyDescent="0.2">
      <c r="A348" s="137"/>
      <c r="B348" s="137"/>
      <c r="C348" s="137"/>
      <c r="D348" s="137"/>
      <c r="E348" s="137"/>
      <c r="F348" s="137"/>
      <c r="G348" s="137"/>
      <c r="H348" s="137"/>
      <c r="I348" s="137"/>
      <c r="J348" s="137"/>
      <c r="K348" s="137"/>
      <c r="L348" s="137"/>
      <c r="M348" s="137"/>
      <c r="N348" s="137"/>
      <c r="O348" s="137"/>
      <c r="P348" s="137"/>
      <c r="Q348" s="137"/>
      <c r="R348" s="137"/>
      <c r="S348" s="137"/>
      <c r="T348" s="137"/>
      <c r="U348" s="137"/>
      <c r="V348" s="137"/>
      <c r="W348" s="137"/>
    </row>
    <row r="349" spans="1:23" x14ac:dyDescent="0.2">
      <c r="A349" s="137"/>
      <c r="B349" s="137"/>
      <c r="C349" s="137"/>
      <c r="D349" s="137"/>
      <c r="E349" s="137"/>
      <c r="F349" s="137"/>
      <c r="G349" s="137"/>
      <c r="H349" s="137"/>
      <c r="I349" s="137"/>
      <c r="J349" s="137"/>
      <c r="K349" s="137"/>
      <c r="L349" s="137"/>
      <c r="M349" s="137"/>
      <c r="N349" s="137"/>
      <c r="O349" s="137"/>
      <c r="P349" s="137"/>
      <c r="Q349" s="137"/>
      <c r="R349" s="137"/>
      <c r="S349" s="137"/>
      <c r="T349" s="137"/>
      <c r="U349" s="137"/>
      <c r="V349" s="137"/>
      <c r="W349" s="137"/>
    </row>
    <row r="350" spans="1:23" x14ac:dyDescent="0.2">
      <c r="A350" s="137"/>
      <c r="B350" s="137"/>
      <c r="C350" s="137"/>
      <c r="D350" s="137"/>
      <c r="E350" s="137"/>
      <c r="F350" s="137"/>
      <c r="G350" s="137"/>
      <c r="H350" s="137"/>
      <c r="I350" s="137"/>
      <c r="J350" s="137"/>
      <c r="K350" s="137"/>
      <c r="L350" s="137"/>
      <c r="M350" s="137"/>
      <c r="N350" s="137"/>
      <c r="O350" s="137"/>
      <c r="P350" s="137"/>
      <c r="Q350" s="137"/>
      <c r="R350" s="137"/>
      <c r="S350" s="137"/>
      <c r="T350" s="137"/>
      <c r="U350" s="137"/>
      <c r="V350" s="137"/>
      <c r="W350" s="137"/>
    </row>
    <row r="351" spans="1:23" x14ac:dyDescent="0.2">
      <c r="A351" s="137"/>
      <c r="B351" s="137"/>
      <c r="C351" s="137"/>
      <c r="D351" s="137"/>
      <c r="E351" s="137"/>
      <c r="F351" s="137"/>
      <c r="G351" s="137"/>
      <c r="H351" s="137"/>
      <c r="I351" s="137"/>
      <c r="J351" s="137"/>
      <c r="K351" s="137"/>
      <c r="L351" s="137"/>
      <c r="M351" s="137"/>
      <c r="N351" s="137"/>
      <c r="O351" s="137"/>
      <c r="P351" s="137"/>
      <c r="Q351" s="137"/>
      <c r="R351" s="137"/>
      <c r="S351" s="137"/>
      <c r="T351" s="137"/>
      <c r="U351" s="137"/>
      <c r="V351" s="137"/>
      <c r="W351" s="137"/>
    </row>
    <row r="352" spans="1:23" x14ac:dyDescent="0.2">
      <c r="A352" s="137"/>
      <c r="B352" s="137"/>
      <c r="C352" s="137"/>
      <c r="D352" s="137"/>
      <c r="E352" s="137"/>
      <c r="F352" s="137"/>
      <c r="G352" s="137"/>
      <c r="H352" s="137"/>
      <c r="I352" s="137"/>
      <c r="J352" s="137"/>
      <c r="K352" s="137"/>
      <c r="L352" s="137"/>
      <c r="M352" s="137"/>
      <c r="N352" s="137"/>
      <c r="O352" s="137"/>
      <c r="P352" s="137"/>
      <c r="Q352" s="137"/>
      <c r="R352" s="137"/>
      <c r="S352" s="137"/>
      <c r="T352" s="137"/>
      <c r="U352" s="137"/>
      <c r="V352" s="137"/>
      <c r="W352" s="137"/>
    </row>
    <row r="353" spans="1:23" x14ac:dyDescent="0.2">
      <c r="A353" s="137"/>
      <c r="B353" s="137"/>
      <c r="C353" s="137"/>
      <c r="D353" s="137"/>
      <c r="E353" s="137"/>
      <c r="F353" s="137"/>
      <c r="G353" s="137"/>
      <c r="H353" s="137"/>
      <c r="I353" s="137"/>
      <c r="J353" s="137"/>
      <c r="K353" s="137"/>
      <c r="L353" s="137"/>
      <c r="M353" s="137"/>
      <c r="N353" s="137"/>
      <c r="O353" s="137"/>
      <c r="P353" s="137"/>
      <c r="Q353" s="137"/>
      <c r="R353" s="137"/>
      <c r="S353" s="137"/>
      <c r="T353" s="137"/>
      <c r="U353" s="137"/>
      <c r="V353" s="137"/>
      <c r="W353" s="137"/>
    </row>
    <row r="354" spans="1:23" x14ac:dyDescent="0.2">
      <c r="A354" s="137"/>
      <c r="B354" s="137"/>
      <c r="C354" s="137"/>
      <c r="D354" s="137"/>
      <c r="E354" s="137"/>
      <c r="F354" s="137"/>
      <c r="G354" s="137"/>
      <c r="H354" s="137"/>
      <c r="I354" s="137"/>
      <c r="J354" s="137"/>
      <c r="K354" s="137"/>
      <c r="L354" s="137"/>
      <c r="M354" s="137"/>
      <c r="N354" s="137"/>
      <c r="O354" s="137"/>
      <c r="P354" s="137"/>
      <c r="Q354" s="137"/>
      <c r="R354" s="137"/>
      <c r="S354" s="137"/>
      <c r="T354" s="137"/>
      <c r="U354" s="137"/>
      <c r="V354" s="137"/>
      <c r="W354" s="137"/>
    </row>
    <row r="355" spans="1:23" x14ac:dyDescent="0.2">
      <c r="A355" s="137"/>
      <c r="B355" s="137"/>
      <c r="C355" s="137"/>
      <c r="D355" s="137"/>
      <c r="E355" s="137"/>
      <c r="F355" s="137"/>
      <c r="G355" s="137"/>
      <c r="H355" s="137"/>
      <c r="I355" s="137"/>
      <c r="J355" s="137"/>
      <c r="K355" s="137"/>
      <c r="L355" s="137"/>
      <c r="M355" s="137"/>
      <c r="N355" s="137"/>
      <c r="O355" s="137"/>
      <c r="P355" s="137"/>
      <c r="Q355" s="137"/>
      <c r="R355" s="137"/>
      <c r="S355" s="137"/>
      <c r="T355" s="137"/>
      <c r="U355" s="137"/>
      <c r="V355" s="137"/>
      <c r="W355" s="137"/>
    </row>
    <row r="356" spans="1:23" x14ac:dyDescent="0.2">
      <c r="A356" s="137"/>
      <c r="B356" s="137"/>
      <c r="C356" s="137"/>
      <c r="D356" s="137"/>
      <c r="E356" s="137"/>
      <c r="F356" s="137"/>
      <c r="G356" s="137"/>
      <c r="H356" s="137"/>
      <c r="I356" s="137"/>
      <c r="J356" s="137"/>
      <c r="K356" s="137"/>
      <c r="L356" s="137"/>
      <c r="M356" s="137"/>
      <c r="N356" s="137"/>
      <c r="O356" s="137"/>
      <c r="P356" s="137"/>
      <c r="Q356" s="137"/>
      <c r="R356" s="137"/>
      <c r="S356" s="137"/>
      <c r="T356" s="137"/>
      <c r="U356" s="137"/>
      <c r="V356" s="137"/>
      <c r="W356" s="137"/>
    </row>
    <row r="357" spans="1:23" x14ac:dyDescent="0.2">
      <c r="A357" s="137"/>
      <c r="B357" s="137"/>
      <c r="C357" s="137"/>
      <c r="D357" s="137"/>
      <c r="E357" s="137"/>
      <c r="F357" s="137"/>
      <c r="G357" s="137"/>
      <c r="H357" s="137"/>
      <c r="I357" s="137"/>
      <c r="J357" s="137"/>
      <c r="K357" s="137"/>
      <c r="L357" s="137"/>
      <c r="M357" s="137"/>
      <c r="N357" s="137"/>
      <c r="O357" s="137"/>
      <c r="P357" s="137"/>
      <c r="Q357" s="137"/>
      <c r="R357" s="137"/>
      <c r="S357" s="137"/>
      <c r="T357" s="137"/>
      <c r="U357" s="137"/>
      <c r="V357" s="137"/>
      <c r="W357" s="137"/>
    </row>
    <row r="358" spans="1:23" x14ac:dyDescent="0.2">
      <c r="A358" s="137"/>
      <c r="B358" s="137"/>
      <c r="C358" s="137"/>
      <c r="D358" s="137"/>
      <c r="E358" s="137"/>
      <c r="F358" s="137"/>
      <c r="G358" s="137"/>
      <c r="H358" s="137"/>
      <c r="I358" s="137"/>
      <c r="J358" s="137"/>
      <c r="K358" s="137"/>
      <c r="L358" s="137"/>
      <c r="M358" s="137"/>
      <c r="N358" s="137"/>
      <c r="O358" s="137"/>
      <c r="P358" s="137"/>
      <c r="Q358" s="137"/>
      <c r="R358" s="137"/>
      <c r="S358" s="137"/>
      <c r="T358" s="137"/>
      <c r="U358" s="137"/>
      <c r="V358" s="137"/>
      <c r="W358" s="137"/>
    </row>
    <row r="359" spans="1:23" x14ac:dyDescent="0.2">
      <c r="A359" s="137"/>
      <c r="B359" s="137"/>
      <c r="C359" s="137"/>
      <c r="D359" s="137"/>
      <c r="E359" s="137"/>
      <c r="F359" s="137"/>
      <c r="G359" s="137"/>
      <c r="H359" s="137"/>
      <c r="I359" s="137"/>
      <c r="J359" s="137"/>
      <c r="K359" s="137"/>
      <c r="L359" s="137"/>
      <c r="M359" s="137"/>
      <c r="N359" s="137"/>
      <c r="O359" s="137"/>
      <c r="P359" s="137"/>
      <c r="Q359" s="137"/>
      <c r="R359" s="137"/>
      <c r="S359" s="137"/>
      <c r="T359" s="137"/>
      <c r="U359" s="137"/>
      <c r="V359" s="137"/>
      <c r="W359" s="137"/>
    </row>
    <row r="360" spans="1:23" x14ac:dyDescent="0.2">
      <c r="A360" s="137"/>
      <c r="B360" s="137"/>
      <c r="C360" s="137"/>
      <c r="D360" s="137"/>
      <c r="E360" s="137"/>
      <c r="F360" s="137"/>
      <c r="G360" s="137"/>
      <c r="H360" s="137"/>
      <c r="I360" s="137"/>
      <c r="J360" s="137"/>
      <c r="K360" s="137"/>
      <c r="L360" s="137"/>
      <c r="M360" s="137"/>
      <c r="N360" s="137"/>
      <c r="O360" s="137"/>
      <c r="P360" s="137"/>
      <c r="Q360" s="137"/>
      <c r="R360" s="137"/>
      <c r="S360" s="137"/>
      <c r="T360" s="137"/>
      <c r="U360" s="137"/>
      <c r="V360" s="137"/>
      <c r="W360" s="137"/>
    </row>
    <row r="361" spans="1:23" x14ac:dyDescent="0.2">
      <c r="A361" s="137"/>
      <c r="B361" s="137"/>
      <c r="C361" s="137"/>
      <c r="D361" s="137"/>
      <c r="E361" s="137"/>
      <c r="F361" s="137"/>
      <c r="G361" s="137"/>
      <c r="H361" s="137"/>
      <c r="I361" s="137"/>
      <c r="J361" s="137"/>
      <c r="K361" s="137"/>
      <c r="L361" s="137"/>
      <c r="M361" s="137"/>
      <c r="N361" s="137"/>
      <c r="O361" s="137"/>
      <c r="P361" s="137"/>
      <c r="Q361" s="137"/>
      <c r="R361" s="137"/>
      <c r="S361" s="137"/>
      <c r="T361" s="137"/>
      <c r="U361" s="137"/>
      <c r="V361" s="137"/>
      <c r="W361" s="137"/>
    </row>
    <row r="362" spans="1:23" x14ac:dyDescent="0.2">
      <c r="A362" s="137"/>
      <c r="B362" s="137"/>
      <c r="C362" s="137"/>
      <c r="D362" s="137"/>
      <c r="E362" s="137"/>
      <c r="F362" s="137"/>
      <c r="G362" s="137"/>
      <c r="H362" s="137"/>
      <c r="I362" s="137"/>
      <c r="J362" s="137"/>
      <c r="K362" s="137"/>
      <c r="L362" s="137"/>
      <c r="M362" s="137"/>
      <c r="N362" s="137"/>
      <c r="O362" s="137"/>
      <c r="P362" s="137"/>
      <c r="Q362" s="137"/>
      <c r="R362" s="137"/>
      <c r="S362" s="137"/>
      <c r="T362" s="137"/>
      <c r="U362" s="137"/>
      <c r="V362" s="137"/>
      <c r="W362" s="137"/>
    </row>
    <row r="363" spans="1:23" x14ac:dyDescent="0.2">
      <c r="A363" s="137"/>
      <c r="B363" s="137"/>
      <c r="C363" s="137"/>
      <c r="D363" s="137"/>
      <c r="E363" s="137"/>
      <c r="F363" s="137"/>
      <c r="G363" s="137"/>
      <c r="H363" s="137"/>
      <c r="I363" s="137"/>
      <c r="J363" s="137"/>
      <c r="K363" s="137"/>
      <c r="L363" s="137"/>
      <c r="M363" s="137"/>
      <c r="N363" s="137"/>
      <c r="O363" s="137"/>
      <c r="P363" s="137"/>
      <c r="Q363" s="137"/>
      <c r="R363" s="137"/>
      <c r="S363" s="137"/>
      <c r="T363" s="137"/>
      <c r="U363" s="137"/>
      <c r="V363" s="137"/>
      <c r="W363" s="137"/>
    </row>
    <row r="364" spans="1:23" x14ac:dyDescent="0.2">
      <c r="A364" s="137"/>
      <c r="B364" s="137"/>
      <c r="C364" s="137"/>
      <c r="D364" s="137"/>
      <c r="E364" s="137"/>
      <c r="F364" s="137"/>
      <c r="G364" s="137"/>
      <c r="H364" s="137"/>
      <c r="I364" s="137"/>
      <c r="J364" s="137"/>
      <c r="K364" s="137"/>
      <c r="L364" s="137"/>
      <c r="M364" s="137"/>
      <c r="N364" s="137"/>
      <c r="O364" s="137"/>
      <c r="P364" s="137"/>
      <c r="Q364" s="137"/>
      <c r="R364" s="137"/>
      <c r="S364" s="137"/>
      <c r="T364" s="137"/>
      <c r="U364" s="137"/>
      <c r="V364" s="137"/>
      <c r="W364" s="137"/>
    </row>
    <row r="365" spans="1:23" x14ac:dyDescent="0.2">
      <c r="A365" s="137"/>
      <c r="B365" s="137"/>
      <c r="C365" s="137"/>
      <c r="D365" s="137"/>
      <c r="E365" s="137"/>
      <c r="F365" s="137"/>
      <c r="G365" s="137"/>
      <c r="H365" s="137"/>
      <c r="I365" s="137"/>
      <c r="J365" s="137"/>
      <c r="K365" s="137"/>
      <c r="L365" s="137"/>
      <c r="M365" s="137"/>
      <c r="N365" s="137"/>
      <c r="O365" s="137"/>
      <c r="P365" s="137"/>
      <c r="Q365" s="137"/>
      <c r="R365" s="137"/>
      <c r="S365" s="137"/>
      <c r="T365" s="137"/>
      <c r="U365" s="137"/>
      <c r="V365" s="137"/>
      <c r="W365" s="137"/>
    </row>
    <row r="366" spans="1:23" x14ac:dyDescent="0.2">
      <c r="A366" s="137"/>
      <c r="B366" s="137"/>
      <c r="C366" s="137"/>
      <c r="D366" s="137"/>
      <c r="E366" s="137"/>
      <c r="F366" s="137"/>
      <c r="G366" s="137"/>
      <c r="H366" s="137"/>
      <c r="I366" s="137"/>
      <c r="J366" s="137"/>
      <c r="K366" s="137"/>
      <c r="L366" s="137"/>
      <c r="M366" s="137"/>
      <c r="N366" s="137"/>
      <c r="O366" s="137"/>
      <c r="P366" s="137"/>
      <c r="Q366" s="137"/>
      <c r="R366" s="137"/>
      <c r="S366" s="137"/>
      <c r="T366" s="137"/>
      <c r="U366" s="137"/>
      <c r="V366" s="137"/>
      <c r="W366" s="137"/>
    </row>
    <row r="367" spans="1:23" x14ac:dyDescent="0.2">
      <c r="A367" s="137"/>
      <c r="B367" s="137"/>
      <c r="C367" s="137"/>
      <c r="D367" s="137"/>
      <c r="E367" s="137"/>
      <c r="F367" s="137"/>
      <c r="G367" s="137"/>
      <c r="H367" s="137"/>
      <c r="I367" s="137"/>
      <c r="J367" s="137"/>
      <c r="K367" s="137"/>
      <c r="L367" s="137"/>
      <c r="M367" s="137"/>
      <c r="N367" s="137"/>
      <c r="O367" s="137"/>
      <c r="P367" s="137"/>
      <c r="Q367" s="137"/>
      <c r="R367" s="137"/>
      <c r="S367" s="137"/>
      <c r="T367" s="137"/>
      <c r="U367" s="137"/>
      <c r="V367" s="137"/>
      <c r="W367" s="137"/>
    </row>
    <row r="368" spans="1:23" x14ac:dyDescent="0.2">
      <c r="A368" s="137"/>
      <c r="B368" s="137"/>
      <c r="C368" s="137"/>
      <c r="D368" s="137"/>
      <c r="E368" s="137"/>
      <c r="F368" s="137"/>
      <c r="G368" s="137"/>
      <c r="H368" s="137"/>
      <c r="I368" s="137"/>
      <c r="J368" s="137"/>
      <c r="K368" s="137"/>
      <c r="L368" s="137"/>
      <c r="M368" s="137"/>
      <c r="N368" s="137"/>
      <c r="O368" s="137"/>
      <c r="P368" s="137"/>
      <c r="Q368" s="137"/>
      <c r="R368" s="137"/>
      <c r="S368" s="137"/>
      <c r="T368" s="137"/>
      <c r="U368" s="137"/>
      <c r="V368" s="137"/>
      <c r="W368" s="137"/>
    </row>
    <row r="369" spans="1:23" x14ac:dyDescent="0.2">
      <c r="A369" s="137"/>
      <c r="B369" s="137"/>
      <c r="C369" s="137"/>
      <c r="D369" s="137"/>
      <c r="E369" s="137"/>
      <c r="F369" s="137"/>
      <c r="G369" s="137"/>
      <c r="H369" s="137"/>
      <c r="I369" s="137"/>
      <c r="J369" s="137"/>
      <c r="K369" s="137"/>
      <c r="L369" s="137"/>
      <c r="M369" s="137"/>
      <c r="N369" s="137"/>
      <c r="O369" s="137"/>
      <c r="P369" s="137"/>
      <c r="Q369" s="137"/>
      <c r="R369" s="137"/>
      <c r="S369" s="137"/>
      <c r="T369" s="137"/>
      <c r="U369" s="137"/>
      <c r="V369" s="137"/>
      <c r="W369" s="137"/>
    </row>
    <row r="370" spans="1:23" x14ac:dyDescent="0.2">
      <c r="A370" s="137"/>
      <c r="B370" s="137"/>
      <c r="C370" s="137"/>
      <c r="D370" s="137"/>
      <c r="E370" s="137"/>
      <c r="F370" s="137"/>
      <c r="G370" s="137"/>
      <c r="H370" s="137"/>
      <c r="I370" s="137"/>
      <c r="J370" s="137"/>
      <c r="K370" s="137"/>
      <c r="L370" s="137"/>
      <c r="M370" s="137"/>
      <c r="N370" s="137"/>
      <c r="O370" s="137"/>
      <c r="P370" s="137"/>
      <c r="Q370" s="137"/>
      <c r="R370" s="137"/>
      <c r="S370" s="137"/>
      <c r="T370" s="137"/>
      <c r="U370" s="137"/>
      <c r="V370" s="137"/>
      <c r="W370" s="137"/>
    </row>
    <row r="371" spans="1:23" x14ac:dyDescent="0.2">
      <c r="A371" s="137"/>
      <c r="B371" s="137"/>
      <c r="C371" s="137"/>
      <c r="D371" s="137"/>
      <c r="E371" s="137"/>
      <c r="F371" s="137"/>
      <c r="G371" s="137"/>
      <c r="H371" s="137"/>
      <c r="I371" s="137"/>
      <c r="J371" s="137"/>
      <c r="K371" s="137"/>
      <c r="L371" s="137"/>
      <c r="M371" s="137"/>
      <c r="N371" s="137"/>
      <c r="O371" s="137"/>
      <c r="P371" s="137"/>
      <c r="Q371" s="137"/>
      <c r="R371" s="137"/>
      <c r="S371" s="137"/>
      <c r="T371" s="137"/>
      <c r="U371" s="137"/>
      <c r="V371" s="137"/>
      <c r="W371" s="137"/>
    </row>
    <row r="372" spans="1:23" x14ac:dyDescent="0.2">
      <c r="A372" s="137"/>
      <c r="B372" s="137"/>
      <c r="C372" s="137"/>
      <c r="D372" s="137"/>
      <c r="E372" s="137"/>
      <c r="F372" s="137"/>
      <c r="G372" s="137"/>
      <c r="H372" s="137"/>
      <c r="I372" s="137"/>
      <c r="J372" s="137"/>
      <c r="K372" s="137"/>
      <c r="L372" s="137"/>
      <c r="M372" s="137"/>
      <c r="N372" s="137"/>
      <c r="O372" s="137"/>
      <c r="P372" s="137"/>
      <c r="Q372" s="137"/>
      <c r="R372" s="137"/>
      <c r="S372" s="137"/>
      <c r="T372" s="137"/>
      <c r="U372" s="137"/>
      <c r="V372" s="137"/>
      <c r="W372" s="137"/>
    </row>
    <row r="373" spans="1:23" x14ac:dyDescent="0.2">
      <c r="A373" s="137"/>
      <c r="B373" s="137"/>
      <c r="C373" s="137"/>
      <c r="D373" s="137"/>
      <c r="E373" s="137"/>
      <c r="F373" s="137"/>
      <c r="G373" s="137"/>
      <c r="H373" s="137"/>
      <c r="I373" s="137"/>
      <c r="J373" s="137"/>
      <c r="K373" s="137"/>
      <c r="L373" s="137"/>
      <c r="M373" s="137"/>
      <c r="N373" s="137"/>
      <c r="O373" s="137"/>
      <c r="P373" s="137"/>
      <c r="Q373" s="137"/>
      <c r="R373" s="137"/>
      <c r="S373" s="137"/>
      <c r="T373" s="137"/>
      <c r="U373" s="137"/>
      <c r="V373" s="137"/>
      <c r="W373" s="137"/>
    </row>
    <row r="374" spans="1:23" x14ac:dyDescent="0.2">
      <c r="A374" s="137"/>
      <c r="B374" s="137"/>
      <c r="C374" s="137"/>
      <c r="D374" s="137"/>
      <c r="E374" s="137"/>
      <c r="F374" s="137"/>
      <c r="G374" s="137"/>
      <c r="H374" s="137"/>
      <c r="I374" s="137"/>
      <c r="J374" s="137"/>
      <c r="K374" s="137"/>
      <c r="L374" s="137"/>
      <c r="M374" s="137"/>
      <c r="N374" s="137"/>
      <c r="O374" s="137"/>
      <c r="P374" s="137"/>
      <c r="Q374" s="137"/>
      <c r="R374" s="137"/>
      <c r="S374" s="137"/>
      <c r="T374" s="137"/>
      <c r="U374" s="137"/>
      <c r="V374" s="137"/>
      <c r="W374" s="137"/>
    </row>
    <row r="375" spans="1:23" x14ac:dyDescent="0.2">
      <c r="A375" s="137"/>
      <c r="B375" s="137"/>
      <c r="C375" s="137"/>
      <c r="D375" s="137"/>
      <c r="E375" s="137"/>
      <c r="F375" s="137"/>
      <c r="G375" s="137"/>
      <c r="H375" s="137"/>
      <c r="I375" s="137"/>
      <c r="J375" s="137"/>
      <c r="K375" s="137"/>
      <c r="L375" s="137"/>
      <c r="M375" s="137"/>
      <c r="N375" s="137"/>
      <c r="O375" s="137"/>
      <c r="P375" s="137"/>
      <c r="Q375" s="137"/>
      <c r="R375" s="137"/>
      <c r="S375" s="137"/>
      <c r="T375" s="137"/>
      <c r="U375" s="137"/>
      <c r="V375" s="137"/>
      <c r="W375" s="137"/>
    </row>
    <row r="376" spans="1:23" x14ac:dyDescent="0.2">
      <c r="A376" s="137"/>
      <c r="B376" s="137"/>
      <c r="C376" s="137"/>
      <c r="D376" s="137"/>
      <c r="E376" s="137"/>
      <c r="F376" s="137"/>
      <c r="G376" s="137"/>
      <c r="H376" s="137"/>
      <c r="I376" s="137"/>
      <c r="J376" s="137"/>
      <c r="K376" s="137"/>
      <c r="L376" s="137"/>
      <c r="M376" s="137"/>
      <c r="N376" s="137"/>
      <c r="O376" s="137"/>
      <c r="P376" s="137"/>
      <c r="Q376" s="137"/>
      <c r="R376" s="137"/>
      <c r="S376" s="137"/>
      <c r="T376" s="137"/>
      <c r="U376" s="137"/>
      <c r="V376" s="137"/>
      <c r="W376" s="137"/>
    </row>
    <row r="377" spans="1:23" x14ac:dyDescent="0.2">
      <c r="A377" s="137"/>
      <c r="B377" s="137"/>
      <c r="C377" s="137"/>
      <c r="D377" s="137"/>
      <c r="E377" s="137"/>
      <c r="F377" s="137"/>
      <c r="G377" s="137"/>
      <c r="H377" s="137"/>
      <c r="I377" s="137"/>
      <c r="J377" s="137"/>
      <c r="K377" s="137"/>
      <c r="L377" s="137"/>
      <c r="M377" s="137"/>
      <c r="N377" s="137"/>
      <c r="O377" s="137"/>
      <c r="P377" s="137"/>
      <c r="Q377" s="137"/>
      <c r="R377" s="137"/>
      <c r="S377" s="137"/>
      <c r="T377" s="137"/>
      <c r="U377" s="137"/>
      <c r="V377" s="137"/>
      <c r="W377" s="137"/>
    </row>
    <row r="378" spans="1:23" x14ac:dyDescent="0.2">
      <c r="A378" s="137"/>
      <c r="B378" s="137"/>
      <c r="C378" s="137"/>
      <c r="D378" s="137"/>
      <c r="E378" s="137"/>
      <c r="F378" s="137"/>
      <c r="G378" s="137"/>
      <c r="H378" s="137"/>
      <c r="I378" s="137"/>
      <c r="J378" s="137"/>
      <c r="K378" s="137"/>
      <c r="L378" s="137"/>
      <c r="M378" s="137"/>
      <c r="N378" s="137"/>
      <c r="O378" s="137"/>
      <c r="P378" s="137"/>
      <c r="Q378" s="137"/>
      <c r="R378" s="137"/>
      <c r="S378" s="137"/>
      <c r="T378" s="137"/>
      <c r="U378" s="137"/>
      <c r="V378" s="137"/>
      <c r="W378" s="137"/>
    </row>
    <row r="379" spans="1:23" x14ac:dyDescent="0.2">
      <c r="A379" s="137"/>
      <c r="B379" s="137"/>
      <c r="C379" s="137"/>
      <c r="D379" s="137"/>
      <c r="E379" s="137"/>
      <c r="F379" s="137"/>
      <c r="G379" s="137"/>
      <c r="H379" s="137"/>
      <c r="I379" s="137"/>
      <c r="J379" s="137"/>
      <c r="K379" s="137"/>
      <c r="L379" s="137"/>
      <c r="M379" s="137"/>
      <c r="N379" s="137"/>
      <c r="O379" s="137"/>
      <c r="P379" s="137"/>
      <c r="Q379" s="137"/>
      <c r="R379" s="137"/>
      <c r="S379" s="137"/>
      <c r="T379" s="137"/>
      <c r="U379" s="137"/>
      <c r="V379" s="137"/>
      <c r="W379" s="137"/>
    </row>
    <row r="380" spans="1:23" x14ac:dyDescent="0.2">
      <c r="A380" s="137"/>
      <c r="B380" s="137"/>
      <c r="C380" s="137"/>
      <c r="D380" s="137"/>
      <c r="E380" s="137"/>
      <c r="F380" s="137"/>
      <c r="G380" s="137"/>
      <c r="H380" s="137"/>
      <c r="I380" s="137"/>
      <c r="J380" s="137"/>
      <c r="K380" s="137"/>
      <c r="L380" s="137"/>
      <c r="M380" s="137"/>
      <c r="N380" s="137"/>
      <c r="O380" s="137"/>
      <c r="P380" s="137"/>
      <c r="Q380" s="137"/>
      <c r="R380" s="137"/>
      <c r="S380" s="137"/>
      <c r="T380" s="137"/>
      <c r="U380" s="137"/>
      <c r="V380" s="137"/>
      <c r="W380" s="137"/>
    </row>
    <row r="381" spans="1:23" x14ac:dyDescent="0.2">
      <c r="A381" s="137"/>
      <c r="B381" s="137"/>
      <c r="C381" s="137"/>
      <c r="D381" s="137"/>
      <c r="E381" s="137"/>
      <c r="F381" s="137"/>
      <c r="G381" s="137"/>
      <c r="H381" s="137"/>
      <c r="I381" s="137"/>
      <c r="J381" s="137"/>
      <c r="K381" s="137"/>
      <c r="L381" s="137"/>
      <c r="M381" s="137"/>
      <c r="N381" s="137"/>
      <c r="O381" s="137"/>
      <c r="P381" s="137"/>
      <c r="Q381" s="137"/>
      <c r="R381" s="137"/>
      <c r="S381" s="137"/>
      <c r="T381" s="137"/>
      <c r="U381" s="137"/>
      <c r="V381" s="137"/>
      <c r="W381" s="137"/>
    </row>
    <row r="382" spans="1:23" x14ac:dyDescent="0.2">
      <c r="A382" s="137"/>
      <c r="B382" s="137"/>
      <c r="C382" s="137"/>
      <c r="D382" s="137"/>
      <c r="E382" s="137"/>
      <c r="F382" s="137"/>
      <c r="G382" s="137"/>
      <c r="H382" s="137"/>
      <c r="I382" s="137"/>
      <c r="J382" s="137"/>
      <c r="K382" s="137"/>
      <c r="L382" s="137"/>
      <c r="M382" s="137"/>
      <c r="N382" s="137"/>
      <c r="O382" s="137"/>
      <c r="P382" s="137"/>
      <c r="Q382" s="137"/>
      <c r="R382" s="137"/>
      <c r="S382" s="137"/>
      <c r="T382" s="137"/>
      <c r="U382" s="137"/>
      <c r="V382" s="137"/>
      <c r="W382" s="137"/>
    </row>
    <row r="383" spans="1:23" x14ac:dyDescent="0.2">
      <c r="A383" s="137"/>
      <c r="B383" s="137"/>
      <c r="C383" s="137"/>
      <c r="D383" s="137"/>
      <c r="E383" s="137"/>
      <c r="F383" s="137"/>
      <c r="G383" s="137"/>
      <c r="H383" s="137"/>
      <c r="I383" s="137"/>
      <c r="J383" s="137"/>
      <c r="K383" s="137"/>
      <c r="L383" s="137"/>
      <c r="M383" s="137"/>
      <c r="N383" s="137"/>
      <c r="O383" s="137"/>
      <c r="P383" s="137"/>
      <c r="Q383" s="137"/>
      <c r="R383" s="137"/>
      <c r="S383" s="137"/>
      <c r="T383" s="137"/>
      <c r="U383" s="137"/>
      <c r="V383" s="137"/>
      <c r="W383" s="137"/>
    </row>
    <row r="384" spans="1:23" x14ac:dyDescent="0.2">
      <c r="A384" s="137"/>
      <c r="B384" s="137"/>
      <c r="C384" s="137"/>
      <c r="D384" s="137"/>
      <c r="E384" s="137"/>
      <c r="F384" s="137"/>
      <c r="G384" s="137"/>
      <c r="H384" s="137"/>
      <c r="I384" s="137"/>
      <c r="J384" s="137"/>
      <c r="K384" s="137"/>
      <c r="L384" s="137"/>
      <c r="M384" s="137"/>
      <c r="N384" s="137"/>
      <c r="O384" s="137"/>
      <c r="P384" s="137"/>
      <c r="Q384" s="137"/>
      <c r="R384" s="137"/>
      <c r="S384" s="137"/>
      <c r="T384" s="137"/>
      <c r="U384" s="137"/>
      <c r="V384" s="137"/>
      <c r="W384" s="137"/>
    </row>
    <row r="385" spans="1:23" x14ac:dyDescent="0.2">
      <c r="A385" s="137"/>
      <c r="B385" s="137"/>
      <c r="C385" s="137"/>
      <c r="D385" s="137"/>
      <c r="E385" s="137"/>
      <c r="F385" s="137"/>
      <c r="G385" s="137"/>
      <c r="H385" s="137"/>
      <c r="I385" s="137"/>
      <c r="J385" s="137"/>
      <c r="K385" s="137"/>
      <c r="L385" s="137"/>
      <c r="M385" s="137"/>
      <c r="N385" s="137"/>
      <c r="O385" s="137"/>
      <c r="P385" s="137"/>
      <c r="Q385" s="137"/>
      <c r="R385" s="137"/>
      <c r="S385" s="137"/>
      <c r="T385" s="137"/>
      <c r="U385" s="137"/>
      <c r="V385" s="137"/>
      <c r="W385" s="137"/>
    </row>
    <row r="386" spans="1:23" x14ac:dyDescent="0.2">
      <c r="A386" s="137"/>
      <c r="B386" s="137"/>
      <c r="C386" s="137"/>
      <c r="D386" s="137"/>
      <c r="E386" s="137"/>
      <c r="F386" s="137"/>
      <c r="G386" s="137"/>
      <c r="H386" s="137"/>
      <c r="I386" s="137"/>
      <c r="J386" s="137"/>
      <c r="K386" s="137"/>
      <c r="L386" s="137"/>
      <c r="M386" s="137"/>
      <c r="N386" s="137"/>
      <c r="O386" s="137"/>
      <c r="P386" s="137"/>
      <c r="Q386" s="137"/>
      <c r="R386" s="137"/>
      <c r="S386" s="137"/>
      <c r="T386" s="137"/>
      <c r="U386" s="137"/>
      <c r="V386" s="137"/>
      <c r="W386" s="137"/>
    </row>
    <row r="387" spans="1:23" x14ac:dyDescent="0.2">
      <c r="A387" s="137"/>
      <c r="B387" s="137"/>
      <c r="C387" s="137"/>
      <c r="D387" s="137"/>
      <c r="E387" s="137"/>
      <c r="F387" s="137"/>
      <c r="G387" s="137"/>
      <c r="H387" s="137"/>
      <c r="I387" s="137"/>
      <c r="J387" s="137"/>
      <c r="K387" s="137"/>
      <c r="L387" s="137"/>
      <c r="M387" s="137"/>
      <c r="N387" s="137"/>
      <c r="O387" s="137"/>
      <c r="P387" s="137"/>
      <c r="Q387" s="137"/>
      <c r="R387" s="137"/>
      <c r="S387" s="137"/>
      <c r="T387" s="137"/>
      <c r="U387" s="137"/>
      <c r="V387" s="137"/>
      <c r="W387" s="137"/>
    </row>
    <row r="388" spans="1:23" x14ac:dyDescent="0.2">
      <c r="A388" s="137"/>
      <c r="B388" s="137"/>
      <c r="C388" s="137"/>
      <c r="D388" s="137"/>
      <c r="E388" s="137"/>
      <c r="F388" s="137"/>
      <c r="G388" s="137"/>
      <c r="H388" s="137"/>
      <c r="I388" s="137"/>
      <c r="J388" s="137"/>
      <c r="K388" s="137"/>
      <c r="L388" s="137"/>
      <c r="M388" s="137"/>
      <c r="N388" s="137"/>
      <c r="O388" s="137"/>
      <c r="P388" s="137"/>
      <c r="Q388" s="137"/>
      <c r="R388" s="137"/>
      <c r="S388" s="137"/>
      <c r="T388" s="137"/>
      <c r="U388" s="137"/>
      <c r="V388" s="137"/>
      <c r="W388" s="137"/>
    </row>
    <row r="389" spans="1:23" x14ac:dyDescent="0.2">
      <c r="A389" s="137"/>
      <c r="B389" s="137"/>
      <c r="C389" s="137"/>
      <c r="D389" s="137"/>
      <c r="E389" s="137"/>
      <c r="F389" s="137"/>
      <c r="G389" s="137"/>
      <c r="H389" s="137"/>
      <c r="I389" s="137"/>
      <c r="J389" s="137"/>
      <c r="K389" s="137"/>
      <c r="L389" s="137"/>
      <c r="M389" s="137"/>
      <c r="N389" s="137"/>
      <c r="O389" s="137"/>
      <c r="P389" s="137"/>
      <c r="Q389" s="137"/>
      <c r="R389" s="137"/>
      <c r="S389" s="137"/>
      <c r="T389" s="137"/>
      <c r="U389" s="137"/>
      <c r="V389" s="137"/>
      <c r="W389" s="137"/>
    </row>
    <row r="390" spans="1:23" x14ac:dyDescent="0.2">
      <c r="A390" s="137"/>
      <c r="B390" s="137"/>
      <c r="C390" s="137"/>
      <c r="D390" s="137"/>
      <c r="E390" s="137"/>
      <c r="F390" s="137"/>
      <c r="G390" s="137"/>
      <c r="H390" s="137"/>
      <c r="I390" s="137"/>
      <c r="J390" s="137"/>
      <c r="K390" s="137"/>
      <c r="L390" s="137"/>
      <c r="M390" s="137"/>
      <c r="N390" s="137"/>
      <c r="O390" s="137"/>
      <c r="P390" s="137"/>
      <c r="Q390" s="137"/>
      <c r="R390" s="137"/>
      <c r="S390" s="137"/>
      <c r="T390" s="137"/>
      <c r="U390" s="137"/>
      <c r="V390" s="137"/>
      <c r="W390" s="137"/>
    </row>
    <row r="391" spans="1:23" x14ac:dyDescent="0.2">
      <c r="A391" s="137"/>
      <c r="B391" s="137"/>
      <c r="C391" s="137"/>
      <c r="D391" s="137"/>
      <c r="E391" s="137"/>
      <c r="F391" s="137"/>
      <c r="G391" s="137"/>
      <c r="H391" s="137"/>
      <c r="I391" s="137"/>
      <c r="J391" s="137"/>
      <c r="K391" s="137"/>
      <c r="L391" s="137"/>
      <c r="M391" s="137"/>
      <c r="N391" s="137"/>
      <c r="O391" s="137"/>
      <c r="P391" s="137"/>
      <c r="Q391" s="137"/>
      <c r="R391" s="137"/>
      <c r="S391" s="137"/>
      <c r="T391" s="137"/>
      <c r="U391" s="137"/>
      <c r="V391" s="137"/>
      <c r="W391" s="137"/>
    </row>
    <row r="392" spans="1:23" x14ac:dyDescent="0.2">
      <c r="A392" s="137"/>
      <c r="B392" s="137"/>
      <c r="C392" s="137"/>
      <c r="D392" s="137"/>
      <c r="E392" s="137"/>
      <c r="F392" s="137"/>
      <c r="G392" s="137"/>
      <c r="H392" s="137"/>
      <c r="I392" s="137"/>
      <c r="J392" s="137"/>
      <c r="K392" s="137"/>
      <c r="L392" s="137"/>
      <c r="M392" s="137"/>
      <c r="N392" s="137"/>
      <c r="O392" s="137"/>
      <c r="P392" s="137"/>
      <c r="Q392" s="137"/>
      <c r="R392" s="137"/>
      <c r="S392" s="137"/>
      <c r="T392" s="137"/>
      <c r="U392" s="137"/>
      <c r="V392" s="137"/>
      <c r="W392" s="137"/>
    </row>
    <row r="393" spans="1:23" x14ac:dyDescent="0.2">
      <c r="A393" s="137"/>
      <c r="B393" s="137"/>
      <c r="C393" s="137"/>
      <c r="D393" s="137"/>
      <c r="E393" s="137"/>
      <c r="F393" s="137"/>
      <c r="G393" s="137"/>
      <c r="H393" s="137"/>
      <c r="I393" s="137"/>
      <c r="J393" s="137"/>
      <c r="K393" s="137"/>
      <c r="L393" s="137"/>
      <c r="M393" s="137"/>
      <c r="N393" s="137"/>
      <c r="O393" s="137"/>
      <c r="P393" s="137"/>
      <c r="Q393" s="137"/>
      <c r="R393" s="137"/>
      <c r="S393" s="137"/>
      <c r="T393" s="137"/>
      <c r="U393" s="137"/>
      <c r="V393" s="137"/>
      <c r="W393" s="137"/>
    </row>
    <row r="394" spans="1:23" x14ac:dyDescent="0.2">
      <c r="A394" s="137"/>
      <c r="B394" s="137"/>
      <c r="C394" s="137"/>
      <c r="D394" s="137"/>
      <c r="E394" s="137"/>
      <c r="F394" s="137"/>
      <c r="G394" s="137"/>
      <c r="H394" s="137"/>
      <c r="I394" s="137"/>
      <c r="J394" s="137"/>
      <c r="K394" s="137"/>
      <c r="L394" s="137"/>
      <c r="M394" s="137"/>
      <c r="N394" s="137"/>
      <c r="O394" s="137"/>
      <c r="P394" s="137"/>
      <c r="Q394" s="137"/>
      <c r="R394" s="137"/>
      <c r="S394" s="137"/>
      <c r="T394" s="137"/>
      <c r="U394" s="137"/>
      <c r="V394" s="137"/>
      <c r="W394" s="137"/>
    </row>
    <row r="395" spans="1:23" x14ac:dyDescent="0.2">
      <c r="A395" s="137"/>
      <c r="B395" s="137"/>
      <c r="C395" s="137"/>
      <c r="D395" s="137"/>
      <c r="E395" s="137"/>
      <c r="F395" s="137"/>
      <c r="G395" s="137"/>
      <c r="H395" s="137"/>
      <c r="I395" s="137"/>
      <c r="J395" s="137"/>
      <c r="K395" s="137"/>
      <c r="L395" s="137"/>
      <c r="M395" s="137"/>
      <c r="N395" s="137"/>
      <c r="O395" s="137"/>
      <c r="P395" s="137"/>
      <c r="Q395" s="137"/>
      <c r="R395" s="137"/>
      <c r="S395" s="137"/>
      <c r="T395" s="137"/>
      <c r="U395" s="137"/>
      <c r="V395" s="137"/>
      <c r="W395" s="137"/>
    </row>
    <row r="396" spans="1:23" x14ac:dyDescent="0.2">
      <c r="A396" s="137"/>
      <c r="B396" s="137"/>
      <c r="C396" s="137"/>
      <c r="D396" s="137"/>
      <c r="E396" s="137"/>
      <c r="F396" s="137"/>
      <c r="G396" s="137"/>
      <c r="H396" s="137"/>
      <c r="I396" s="137"/>
      <c r="J396" s="137"/>
      <c r="K396" s="137"/>
      <c r="L396" s="137"/>
      <c r="M396" s="137"/>
      <c r="N396" s="137"/>
      <c r="O396" s="137"/>
      <c r="P396" s="137"/>
      <c r="Q396" s="137"/>
      <c r="R396" s="137"/>
      <c r="S396" s="137"/>
      <c r="T396" s="137"/>
      <c r="U396" s="137"/>
      <c r="V396" s="137"/>
      <c r="W396" s="137"/>
    </row>
    <row r="397" spans="1:23" x14ac:dyDescent="0.2">
      <c r="A397" s="137"/>
      <c r="B397" s="137"/>
      <c r="C397" s="137"/>
      <c r="D397" s="137"/>
      <c r="E397" s="137"/>
      <c r="F397" s="137"/>
      <c r="G397" s="137"/>
      <c r="H397" s="137"/>
      <c r="I397" s="137"/>
      <c r="J397" s="137"/>
      <c r="K397" s="137"/>
      <c r="L397" s="137"/>
      <c r="M397" s="137"/>
      <c r="N397" s="137"/>
      <c r="O397" s="137"/>
      <c r="P397" s="137"/>
      <c r="Q397" s="137"/>
      <c r="R397" s="137"/>
      <c r="S397" s="137"/>
      <c r="T397" s="137"/>
      <c r="U397" s="137"/>
      <c r="V397" s="137"/>
      <c r="W397" s="137"/>
    </row>
    <row r="398" spans="1:23" x14ac:dyDescent="0.2">
      <c r="A398" s="137"/>
      <c r="B398" s="137"/>
      <c r="C398" s="137"/>
      <c r="D398" s="137"/>
      <c r="E398" s="137"/>
      <c r="F398" s="137"/>
      <c r="G398" s="137"/>
      <c r="H398" s="137"/>
      <c r="I398" s="137"/>
      <c r="J398" s="137"/>
      <c r="K398" s="137"/>
      <c r="L398" s="137"/>
      <c r="M398" s="137"/>
      <c r="N398" s="137"/>
      <c r="O398" s="137"/>
      <c r="P398" s="137"/>
      <c r="Q398" s="137"/>
      <c r="R398" s="137"/>
      <c r="S398" s="137"/>
      <c r="T398" s="137"/>
      <c r="U398" s="137"/>
      <c r="V398" s="137"/>
      <c r="W398" s="137"/>
    </row>
    <row r="399" spans="1:23" x14ac:dyDescent="0.2">
      <c r="A399" s="137"/>
      <c r="B399" s="137"/>
      <c r="C399" s="137"/>
      <c r="D399" s="137"/>
      <c r="E399" s="137"/>
      <c r="F399" s="137"/>
      <c r="G399" s="137"/>
      <c r="H399" s="137"/>
      <c r="I399" s="137"/>
      <c r="J399" s="137"/>
      <c r="K399" s="137"/>
      <c r="L399" s="137"/>
      <c r="M399" s="137"/>
      <c r="N399" s="137"/>
      <c r="O399" s="137"/>
      <c r="P399" s="137"/>
      <c r="Q399" s="137"/>
      <c r="R399" s="137"/>
      <c r="S399" s="137"/>
      <c r="T399" s="137"/>
      <c r="U399" s="137"/>
      <c r="V399" s="137"/>
      <c r="W399" s="137"/>
    </row>
    <row r="400" spans="1:23" x14ac:dyDescent="0.2">
      <c r="A400" s="137"/>
      <c r="B400" s="137"/>
      <c r="C400" s="137"/>
      <c r="D400" s="137"/>
      <c r="E400" s="137"/>
      <c r="F400" s="137"/>
      <c r="G400" s="137"/>
      <c r="H400" s="137"/>
      <c r="I400" s="137"/>
      <c r="J400" s="137"/>
      <c r="K400" s="137"/>
      <c r="L400" s="137"/>
      <c r="M400" s="137"/>
      <c r="N400" s="137"/>
      <c r="O400" s="137"/>
      <c r="P400" s="137"/>
      <c r="Q400" s="137"/>
      <c r="R400" s="137"/>
      <c r="S400" s="137"/>
      <c r="T400" s="137"/>
      <c r="U400" s="137"/>
      <c r="V400" s="137"/>
      <c r="W400" s="137"/>
    </row>
    <row r="401" spans="1:23" x14ac:dyDescent="0.2">
      <c r="A401" s="137"/>
      <c r="B401" s="137"/>
      <c r="C401" s="137"/>
      <c r="D401" s="137"/>
      <c r="E401" s="137"/>
      <c r="F401" s="137"/>
      <c r="G401" s="137"/>
      <c r="H401" s="137"/>
      <c r="I401" s="137"/>
      <c r="J401" s="137"/>
      <c r="K401" s="137"/>
      <c r="L401" s="137"/>
      <c r="M401" s="137"/>
      <c r="N401" s="137"/>
      <c r="O401" s="137"/>
      <c r="P401" s="137"/>
      <c r="Q401" s="137"/>
      <c r="R401" s="137"/>
      <c r="S401" s="137"/>
      <c r="T401" s="137"/>
      <c r="U401" s="137"/>
      <c r="V401" s="137"/>
      <c r="W401" s="137"/>
    </row>
    <row r="402" spans="1:23" x14ac:dyDescent="0.2">
      <c r="A402" s="137"/>
      <c r="B402" s="137"/>
      <c r="C402" s="137"/>
      <c r="D402" s="137"/>
      <c r="E402" s="137"/>
      <c r="F402" s="137"/>
      <c r="G402" s="137"/>
      <c r="H402" s="137"/>
      <c r="I402" s="137"/>
      <c r="J402" s="137"/>
      <c r="K402" s="137"/>
      <c r="L402" s="137"/>
      <c r="M402" s="137"/>
      <c r="N402" s="137"/>
      <c r="O402" s="137"/>
      <c r="P402" s="137"/>
      <c r="Q402" s="137"/>
      <c r="R402" s="137"/>
      <c r="S402" s="137"/>
      <c r="T402" s="137"/>
      <c r="U402" s="137"/>
      <c r="V402" s="137"/>
      <c r="W402" s="137"/>
    </row>
    <row r="403" spans="1:23" x14ac:dyDescent="0.2">
      <c r="A403" s="137"/>
      <c r="B403" s="137"/>
      <c r="C403" s="137"/>
      <c r="D403" s="137"/>
      <c r="E403" s="137"/>
      <c r="F403" s="137"/>
      <c r="G403" s="137"/>
      <c r="H403" s="137"/>
      <c r="I403" s="137"/>
      <c r="J403" s="137"/>
      <c r="K403" s="137"/>
      <c r="L403" s="137"/>
      <c r="M403" s="137"/>
      <c r="N403" s="137"/>
      <c r="O403" s="137"/>
      <c r="P403" s="137"/>
      <c r="Q403" s="137"/>
      <c r="R403" s="137"/>
      <c r="S403" s="137"/>
      <c r="T403" s="137"/>
      <c r="U403" s="137"/>
      <c r="V403" s="137"/>
      <c r="W403" s="137"/>
    </row>
    <row r="404" spans="1:23" x14ac:dyDescent="0.2">
      <c r="A404" s="137"/>
      <c r="B404" s="137"/>
      <c r="C404" s="137"/>
      <c r="D404" s="137"/>
      <c r="E404" s="137"/>
      <c r="F404" s="137"/>
      <c r="G404" s="137"/>
      <c r="H404" s="137"/>
      <c r="I404" s="137"/>
      <c r="J404" s="137"/>
      <c r="K404" s="137"/>
      <c r="L404" s="137"/>
      <c r="M404" s="137"/>
      <c r="N404" s="137"/>
      <c r="O404" s="137"/>
      <c r="P404" s="137"/>
      <c r="Q404" s="137"/>
      <c r="R404" s="137"/>
      <c r="S404" s="137"/>
      <c r="T404" s="137"/>
      <c r="U404" s="137"/>
      <c r="V404" s="137"/>
      <c r="W404" s="137"/>
    </row>
    <row r="405" spans="1:23" x14ac:dyDescent="0.2">
      <c r="A405" s="137"/>
      <c r="B405" s="137"/>
      <c r="C405" s="137"/>
      <c r="D405" s="137"/>
      <c r="E405" s="137"/>
      <c r="F405" s="137"/>
      <c r="G405" s="137"/>
      <c r="H405" s="137"/>
      <c r="I405" s="137"/>
      <c r="J405" s="137"/>
      <c r="K405" s="137"/>
      <c r="L405" s="137"/>
      <c r="M405" s="137"/>
      <c r="N405" s="137"/>
      <c r="O405" s="137"/>
      <c r="P405" s="137"/>
      <c r="Q405" s="137"/>
      <c r="R405" s="137"/>
      <c r="S405" s="137"/>
      <c r="T405" s="137"/>
      <c r="U405" s="137"/>
      <c r="V405" s="137"/>
      <c r="W405" s="137"/>
    </row>
    <row r="406" spans="1:23" x14ac:dyDescent="0.2">
      <c r="A406" s="137"/>
      <c r="B406" s="137"/>
      <c r="C406" s="137"/>
      <c r="D406" s="137"/>
      <c r="E406" s="137"/>
      <c r="F406" s="137"/>
      <c r="G406" s="137"/>
      <c r="H406" s="137"/>
      <c r="I406" s="137"/>
      <c r="J406" s="137"/>
      <c r="K406" s="137"/>
      <c r="L406" s="137"/>
      <c r="M406" s="137"/>
      <c r="N406" s="137"/>
      <c r="O406" s="137"/>
      <c r="P406" s="137"/>
      <c r="Q406" s="137"/>
      <c r="R406" s="137"/>
      <c r="S406" s="137"/>
      <c r="T406" s="137"/>
      <c r="U406" s="137"/>
      <c r="V406" s="137"/>
      <c r="W406" s="137"/>
    </row>
    <row r="407" spans="1:23" x14ac:dyDescent="0.2">
      <c r="A407" s="137"/>
      <c r="B407" s="137"/>
      <c r="C407" s="137"/>
      <c r="D407" s="137"/>
      <c r="E407" s="137"/>
      <c r="F407" s="137"/>
      <c r="G407" s="137"/>
      <c r="H407" s="137"/>
      <c r="I407" s="137"/>
      <c r="J407" s="137"/>
      <c r="K407" s="137"/>
      <c r="L407" s="137"/>
      <c r="M407" s="137"/>
      <c r="N407" s="137"/>
      <c r="O407" s="137"/>
      <c r="P407" s="137"/>
      <c r="Q407" s="137"/>
      <c r="R407" s="137"/>
      <c r="S407" s="137"/>
      <c r="T407" s="137"/>
      <c r="U407" s="137"/>
      <c r="V407" s="137"/>
      <c r="W407" s="137"/>
    </row>
    <row r="408" spans="1:23" x14ac:dyDescent="0.2">
      <c r="A408" s="137"/>
      <c r="B408" s="137"/>
      <c r="C408" s="137"/>
      <c r="D408" s="137"/>
      <c r="E408" s="137"/>
      <c r="F408" s="137"/>
      <c r="G408" s="137"/>
      <c r="H408" s="137"/>
      <c r="I408" s="137"/>
      <c r="J408" s="137"/>
      <c r="K408" s="137"/>
      <c r="L408" s="137"/>
      <c r="M408" s="137"/>
      <c r="N408" s="137"/>
      <c r="O408" s="137"/>
      <c r="P408" s="137"/>
      <c r="Q408" s="137"/>
      <c r="R408" s="137"/>
      <c r="S408" s="137"/>
      <c r="T408" s="137"/>
      <c r="U408" s="137"/>
      <c r="V408" s="137"/>
      <c r="W408" s="137"/>
    </row>
    <row r="409" spans="1:23" x14ac:dyDescent="0.2">
      <c r="A409" s="137"/>
      <c r="B409" s="137"/>
      <c r="C409" s="137"/>
      <c r="D409" s="137"/>
      <c r="E409" s="137"/>
      <c r="F409" s="137"/>
      <c r="G409" s="137"/>
      <c r="H409" s="137"/>
      <c r="I409" s="137"/>
      <c r="J409" s="137"/>
      <c r="K409" s="137"/>
      <c r="L409" s="137"/>
      <c r="M409" s="137"/>
      <c r="N409" s="137"/>
      <c r="O409" s="137"/>
      <c r="P409" s="137"/>
      <c r="Q409" s="137"/>
      <c r="R409" s="137"/>
      <c r="S409" s="137"/>
      <c r="T409" s="137"/>
      <c r="U409" s="137"/>
      <c r="V409" s="137"/>
      <c r="W409" s="137"/>
    </row>
    <row r="410" spans="1:23" x14ac:dyDescent="0.2">
      <c r="A410" s="137"/>
      <c r="B410" s="137"/>
      <c r="C410" s="137"/>
      <c r="D410" s="137"/>
      <c r="E410" s="137"/>
      <c r="F410" s="137"/>
      <c r="G410" s="137"/>
      <c r="H410" s="137"/>
      <c r="I410" s="137"/>
      <c r="J410" s="137"/>
      <c r="K410" s="137"/>
      <c r="L410" s="137"/>
      <c r="M410" s="137"/>
      <c r="N410" s="137"/>
      <c r="O410" s="137"/>
      <c r="P410" s="137"/>
      <c r="Q410" s="137"/>
      <c r="R410" s="137"/>
      <c r="S410" s="137"/>
      <c r="T410" s="137"/>
      <c r="U410" s="137"/>
      <c r="V410" s="137"/>
      <c r="W410" s="137"/>
    </row>
    <row r="411" spans="1:23" x14ac:dyDescent="0.2">
      <c r="A411" s="137"/>
      <c r="B411" s="137"/>
      <c r="C411" s="137"/>
      <c r="D411" s="137"/>
      <c r="E411" s="137"/>
      <c r="F411" s="137"/>
      <c r="G411" s="137"/>
      <c r="H411" s="137"/>
      <c r="I411" s="137"/>
      <c r="J411" s="137"/>
      <c r="K411" s="137"/>
      <c r="L411" s="137"/>
      <c r="M411" s="137"/>
      <c r="N411" s="137"/>
      <c r="O411" s="137"/>
      <c r="P411" s="137"/>
      <c r="Q411" s="137"/>
      <c r="R411" s="137"/>
      <c r="S411" s="137"/>
      <c r="T411" s="137"/>
      <c r="U411" s="137"/>
      <c r="V411" s="137"/>
      <c r="W411" s="137"/>
    </row>
    <row r="412" spans="1:23" x14ac:dyDescent="0.2">
      <c r="A412" s="137"/>
      <c r="B412" s="137"/>
      <c r="C412" s="137"/>
      <c r="D412" s="137"/>
      <c r="E412" s="137"/>
      <c r="F412" s="137"/>
      <c r="G412" s="137"/>
      <c r="H412" s="137"/>
      <c r="I412" s="137"/>
      <c r="J412" s="137"/>
      <c r="K412" s="137"/>
      <c r="L412" s="137"/>
      <c r="M412" s="137"/>
      <c r="N412" s="137"/>
      <c r="O412" s="137"/>
      <c r="P412" s="137"/>
      <c r="Q412" s="137"/>
      <c r="R412" s="137"/>
      <c r="S412" s="137"/>
      <c r="T412" s="137"/>
      <c r="U412" s="137"/>
      <c r="V412" s="137"/>
      <c r="W412" s="137"/>
    </row>
    <row r="413" spans="1:23" x14ac:dyDescent="0.2">
      <c r="A413" s="137"/>
      <c r="B413" s="137"/>
      <c r="C413" s="137"/>
      <c r="D413" s="137"/>
      <c r="E413" s="137"/>
      <c r="F413" s="137"/>
      <c r="G413" s="137"/>
      <c r="H413" s="137"/>
      <c r="I413" s="137"/>
      <c r="J413" s="137"/>
      <c r="K413" s="137"/>
      <c r="L413" s="137"/>
      <c r="M413" s="137"/>
      <c r="N413" s="137"/>
      <c r="O413" s="137"/>
      <c r="P413" s="137"/>
      <c r="Q413" s="137"/>
      <c r="R413" s="137"/>
      <c r="S413" s="137"/>
      <c r="T413" s="137"/>
      <c r="U413" s="137"/>
      <c r="V413" s="137"/>
      <c r="W413" s="137"/>
    </row>
    <row r="414" spans="1:23" x14ac:dyDescent="0.2">
      <c r="A414" s="137"/>
      <c r="B414" s="137"/>
      <c r="C414" s="137"/>
      <c r="D414" s="137"/>
      <c r="E414" s="137"/>
      <c r="F414" s="137"/>
      <c r="G414" s="137"/>
      <c r="H414" s="137"/>
      <c r="I414" s="137"/>
      <c r="J414" s="137"/>
      <c r="K414" s="137"/>
      <c r="L414" s="137"/>
      <c r="M414" s="137"/>
      <c r="N414" s="137"/>
      <c r="O414" s="137"/>
      <c r="P414" s="137"/>
      <c r="Q414" s="137"/>
      <c r="R414" s="137"/>
      <c r="S414" s="137"/>
      <c r="T414" s="137"/>
      <c r="U414" s="137"/>
      <c r="V414" s="137"/>
      <c r="W414" s="137"/>
    </row>
    <row r="415" spans="1:23" x14ac:dyDescent="0.2">
      <c r="A415" s="137"/>
      <c r="B415" s="137"/>
      <c r="C415" s="137"/>
      <c r="D415" s="137"/>
      <c r="E415" s="137"/>
      <c r="F415" s="137"/>
      <c r="G415" s="137"/>
      <c r="H415" s="137"/>
      <c r="I415" s="137"/>
      <c r="J415" s="137"/>
      <c r="K415" s="137"/>
      <c r="L415" s="137"/>
      <c r="M415" s="137"/>
      <c r="N415" s="137"/>
      <c r="O415" s="137"/>
      <c r="P415" s="137"/>
      <c r="Q415" s="137"/>
      <c r="R415" s="137"/>
      <c r="S415" s="137"/>
      <c r="T415" s="137"/>
      <c r="U415" s="137"/>
      <c r="V415" s="137"/>
      <c r="W415" s="137"/>
    </row>
    <row r="416" spans="1:23" x14ac:dyDescent="0.2">
      <c r="A416" s="137"/>
      <c r="B416" s="137"/>
      <c r="C416" s="137"/>
      <c r="D416" s="137"/>
      <c r="E416" s="137"/>
      <c r="F416" s="137"/>
      <c r="G416" s="137"/>
      <c r="H416" s="137"/>
      <c r="I416" s="137"/>
      <c r="J416" s="137"/>
      <c r="K416" s="137"/>
      <c r="L416" s="137"/>
      <c r="M416" s="137"/>
      <c r="N416" s="137"/>
      <c r="O416" s="137"/>
      <c r="P416" s="137"/>
      <c r="Q416" s="137"/>
      <c r="R416" s="137"/>
      <c r="S416" s="137"/>
      <c r="T416" s="137"/>
      <c r="U416" s="137"/>
      <c r="V416" s="137"/>
      <c r="W416" s="137"/>
    </row>
    <row r="417" spans="1:23" x14ac:dyDescent="0.2">
      <c r="A417" s="137"/>
      <c r="B417" s="137"/>
      <c r="C417" s="137"/>
      <c r="D417" s="137"/>
      <c r="E417" s="137"/>
      <c r="F417" s="137"/>
      <c r="G417" s="137"/>
      <c r="H417" s="137"/>
      <c r="I417" s="137"/>
      <c r="J417" s="137"/>
      <c r="K417" s="137"/>
      <c r="L417" s="137"/>
      <c r="M417" s="137"/>
      <c r="N417" s="137"/>
      <c r="O417" s="137"/>
      <c r="P417" s="137"/>
      <c r="Q417" s="137"/>
      <c r="R417" s="137"/>
      <c r="S417" s="137"/>
      <c r="T417" s="137"/>
      <c r="U417" s="137"/>
      <c r="V417" s="137"/>
      <c r="W417" s="137"/>
    </row>
    <row r="418" spans="1:23" x14ac:dyDescent="0.2">
      <c r="A418" s="137"/>
      <c r="B418" s="137"/>
      <c r="C418" s="137"/>
      <c r="D418" s="137"/>
      <c r="E418" s="137"/>
      <c r="F418" s="137"/>
      <c r="G418" s="137"/>
      <c r="H418" s="137"/>
      <c r="I418" s="137"/>
      <c r="J418" s="137"/>
      <c r="K418" s="137"/>
      <c r="L418" s="137"/>
      <c r="M418" s="137"/>
      <c r="N418" s="137"/>
      <c r="O418" s="137"/>
      <c r="P418" s="137"/>
      <c r="Q418" s="137"/>
      <c r="R418" s="137"/>
      <c r="S418" s="137"/>
      <c r="T418" s="137"/>
      <c r="U418" s="137"/>
      <c r="V418" s="137"/>
      <c r="W418" s="137"/>
    </row>
    <row r="419" spans="1:23" x14ac:dyDescent="0.2">
      <c r="A419" s="137"/>
      <c r="B419" s="137"/>
      <c r="C419" s="137"/>
      <c r="D419" s="137"/>
      <c r="E419" s="137"/>
      <c r="F419" s="137"/>
      <c r="G419" s="137"/>
      <c r="H419" s="137"/>
      <c r="I419" s="137"/>
      <c r="J419" s="137"/>
      <c r="K419" s="137"/>
      <c r="L419" s="137"/>
      <c r="M419" s="137"/>
      <c r="N419" s="137"/>
      <c r="O419" s="137"/>
      <c r="P419" s="137"/>
      <c r="Q419" s="137"/>
      <c r="R419" s="137"/>
      <c r="S419" s="137"/>
      <c r="T419" s="137"/>
      <c r="U419" s="137"/>
      <c r="V419" s="137"/>
      <c r="W419" s="137"/>
    </row>
    <row r="420" spans="1:23" x14ac:dyDescent="0.2">
      <c r="A420" s="137"/>
      <c r="B420" s="137"/>
      <c r="C420" s="137"/>
      <c r="D420" s="137"/>
      <c r="E420" s="137"/>
      <c r="F420" s="137"/>
      <c r="G420" s="137"/>
      <c r="H420" s="137"/>
      <c r="I420" s="137"/>
      <c r="J420" s="137"/>
      <c r="K420" s="137"/>
      <c r="L420" s="137"/>
      <c r="M420" s="137"/>
      <c r="N420" s="137"/>
      <c r="O420" s="137"/>
      <c r="P420" s="137"/>
      <c r="Q420" s="137"/>
      <c r="R420" s="137"/>
      <c r="S420" s="137"/>
      <c r="T420" s="137"/>
      <c r="U420" s="137"/>
      <c r="V420" s="137"/>
      <c r="W420" s="137"/>
    </row>
    <row r="421" spans="1:23" x14ac:dyDescent="0.2">
      <c r="A421" s="137"/>
      <c r="B421" s="137"/>
      <c r="C421" s="137"/>
      <c r="D421" s="137"/>
      <c r="E421" s="137"/>
      <c r="F421" s="137"/>
      <c r="G421" s="137"/>
      <c r="H421" s="137"/>
      <c r="I421" s="137"/>
      <c r="J421" s="137"/>
      <c r="K421" s="137"/>
      <c r="L421" s="137"/>
      <c r="M421" s="137"/>
      <c r="N421" s="137"/>
      <c r="O421" s="137"/>
      <c r="P421" s="137"/>
      <c r="Q421" s="137"/>
      <c r="R421" s="137"/>
      <c r="S421" s="137"/>
      <c r="T421" s="137"/>
      <c r="U421" s="137"/>
      <c r="V421" s="137"/>
      <c r="W421" s="137"/>
    </row>
    <row r="422" spans="1:23" x14ac:dyDescent="0.2">
      <c r="A422" s="137"/>
      <c r="B422" s="137"/>
      <c r="C422" s="137"/>
      <c r="D422" s="137"/>
      <c r="E422" s="137"/>
      <c r="F422" s="137"/>
      <c r="G422" s="137"/>
      <c r="H422" s="137"/>
      <c r="I422" s="137"/>
      <c r="J422" s="137"/>
      <c r="K422" s="137"/>
      <c r="L422" s="137"/>
      <c r="M422" s="137"/>
      <c r="N422" s="137"/>
      <c r="O422" s="137"/>
      <c r="P422" s="137"/>
      <c r="Q422" s="137"/>
      <c r="R422" s="137"/>
      <c r="S422" s="137"/>
      <c r="T422" s="137"/>
      <c r="U422" s="137"/>
      <c r="V422" s="137"/>
      <c r="W422" s="137"/>
    </row>
    <row r="423" spans="1:23" x14ac:dyDescent="0.2">
      <c r="A423" s="137"/>
      <c r="B423" s="137"/>
      <c r="C423" s="137"/>
      <c r="D423" s="137"/>
      <c r="E423" s="137"/>
      <c r="F423" s="137"/>
      <c r="G423" s="137"/>
      <c r="H423" s="137"/>
      <c r="I423" s="137"/>
      <c r="J423" s="137"/>
      <c r="K423" s="137"/>
      <c r="L423" s="137"/>
      <c r="M423" s="137"/>
      <c r="N423" s="137"/>
      <c r="O423" s="137"/>
      <c r="P423" s="137"/>
      <c r="Q423" s="137"/>
      <c r="R423" s="137"/>
      <c r="S423" s="137"/>
      <c r="T423" s="137"/>
      <c r="U423" s="137"/>
      <c r="V423" s="137"/>
      <c r="W423" s="137"/>
    </row>
    <row r="424" spans="1:23" x14ac:dyDescent="0.2">
      <c r="A424" s="137"/>
      <c r="B424" s="137"/>
      <c r="C424" s="137"/>
      <c r="D424" s="137"/>
      <c r="E424" s="137"/>
      <c r="F424" s="137"/>
      <c r="G424" s="137"/>
      <c r="H424" s="137"/>
      <c r="I424" s="137"/>
      <c r="J424" s="137"/>
      <c r="K424" s="137"/>
      <c r="L424" s="137"/>
      <c r="M424" s="137"/>
      <c r="N424" s="137"/>
      <c r="O424" s="137"/>
      <c r="P424" s="137"/>
      <c r="Q424" s="137"/>
      <c r="R424" s="137"/>
      <c r="S424" s="137"/>
      <c r="T424" s="137"/>
      <c r="U424" s="137"/>
      <c r="V424" s="137"/>
      <c r="W424" s="137"/>
    </row>
    <row r="425" spans="1:23" x14ac:dyDescent="0.2">
      <c r="A425" s="137"/>
      <c r="B425" s="137"/>
      <c r="C425" s="137"/>
      <c r="D425" s="137"/>
      <c r="E425" s="137"/>
      <c r="F425" s="137"/>
      <c r="G425" s="137"/>
      <c r="H425" s="137"/>
      <c r="I425" s="137"/>
      <c r="J425" s="137"/>
      <c r="K425" s="137"/>
      <c r="L425" s="137"/>
      <c r="M425" s="137"/>
      <c r="N425" s="137"/>
      <c r="O425" s="137"/>
      <c r="P425" s="137"/>
      <c r="Q425" s="137"/>
      <c r="R425" s="137"/>
      <c r="S425" s="137"/>
      <c r="T425" s="137"/>
      <c r="U425" s="137"/>
      <c r="V425" s="137"/>
      <c r="W425" s="137"/>
    </row>
    <row r="426" spans="1:23" x14ac:dyDescent="0.2">
      <c r="A426" s="137"/>
      <c r="B426" s="137"/>
      <c r="C426" s="137"/>
      <c r="D426" s="137"/>
      <c r="E426" s="137"/>
      <c r="F426" s="137"/>
      <c r="G426" s="137"/>
      <c r="H426" s="137"/>
      <c r="I426" s="137"/>
      <c r="J426" s="137"/>
      <c r="K426" s="137"/>
      <c r="L426" s="137"/>
      <c r="M426" s="137"/>
      <c r="N426" s="137"/>
      <c r="O426" s="137"/>
      <c r="P426" s="137"/>
      <c r="Q426" s="137"/>
      <c r="R426" s="137"/>
      <c r="S426" s="137"/>
      <c r="T426" s="137"/>
      <c r="U426" s="137"/>
      <c r="V426" s="137"/>
      <c r="W426" s="137"/>
    </row>
    <row r="427" spans="1:23" x14ac:dyDescent="0.2">
      <c r="A427" s="137"/>
      <c r="B427" s="137"/>
      <c r="C427" s="137"/>
      <c r="D427" s="137"/>
      <c r="E427" s="137"/>
      <c r="F427" s="137"/>
      <c r="G427" s="137"/>
      <c r="H427" s="137"/>
      <c r="I427" s="137"/>
      <c r="J427" s="137"/>
      <c r="K427" s="137"/>
      <c r="L427" s="137"/>
      <c r="M427" s="137"/>
      <c r="N427" s="137"/>
      <c r="O427" s="137"/>
      <c r="P427" s="137"/>
      <c r="Q427" s="137"/>
      <c r="R427" s="137"/>
      <c r="S427" s="137"/>
      <c r="T427" s="137"/>
      <c r="U427" s="137"/>
      <c r="V427" s="137"/>
      <c r="W427" s="137"/>
    </row>
    <row r="428" spans="1:23" x14ac:dyDescent="0.2">
      <c r="A428" s="137"/>
      <c r="B428" s="137"/>
      <c r="C428" s="137"/>
      <c r="D428" s="137"/>
      <c r="E428" s="137"/>
      <c r="F428" s="137"/>
      <c r="G428" s="137"/>
      <c r="H428" s="137"/>
      <c r="I428" s="137"/>
      <c r="J428" s="137"/>
      <c r="K428" s="137"/>
      <c r="L428" s="137"/>
      <c r="M428" s="137"/>
      <c r="N428" s="137"/>
      <c r="O428" s="137"/>
      <c r="P428" s="137"/>
      <c r="Q428" s="137"/>
      <c r="R428" s="137"/>
      <c r="S428" s="137"/>
      <c r="T428" s="137"/>
      <c r="U428" s="137"/>
      <c r="V428" s="137"/>
      <c r="W428" s="137"/>
    </row>
    <row r="429" spans="1:23" x14ac:dyDescent="0.2">
      <c r="A429" s="137"/>
      <c r="B429" s="137"/>
      <c r="C429" s="137"/>
      <c r="D429" s="137"/>
      <c r="E429" s="137"/>
      <c r="F429" s="137"/>
      <c r="G429" s="137"/>
      <c r="H429" s="137"/>
      <c r="I429" s="137"/>
      <c r="J429" s="137"/>
      <c r="K429" s="137"/>
      <c r="L429" s="137"/>
      <c r="M429" s="137"/>
      <c r="N429" s="137"/>
      <c r="O429" s="137"/>
      <c r="P429" s="137"/>
      <c r="Q429" s="137"/>
      <c r="R429" s="137"/>
      <c r="S429" s="137"/>
      <c r="T429" s="137"/>
      <c r="U429" s="137"/>
      <c r="V429" s="137"/>
      <c r="W429" s="137"/>
    </row>
    <row r="430" spans="1:23" x14ac:dyDescent="0.2">
      <c r="A430" s="137"/>
      <c r="B430" s="137"/>
      <c r="C430" s="137"/>
      <c r="D430" s="137"/>
      <c r="E430" s="137"/>
      <c r="F430" s="137"/>
      <c r="G430" s="137"/>
      <c r="H430" s="137"/>
      <c r="I430" s="137"/>
      <c r="J430" s="137"/>
      <c r="K430" s="137"/>
      <c r="L430" s="137"/>
      <c r="M430" s="137"/>
      <c r="N430" s="137"/>
      <c r="O430" s="137"/>
      <c r="P430" s="137"/>
      <c r="Q430" s="137"/>
      <c r="R430" s="137"/>
      <c r="S430" s="137"/>
      <c r="T430" s="137"/>
      <c r="U430" s="137"/>
      <c r="V430" s="137"/>
      <c r="W430" s="137"/>
    </row>
    <row r="431" spans="1:23" x14ac:dyDescent="0.2">
      <c r="A431" s="137"/>
      <c r="B431" s="137"/>
      <c r="C431" s="137"/>
      <c r="D431" s="137"/>
      <c r="E431" s="137"/>
      <c r="F431" s="137"/>
      <c r="G431" s="137"/>
      <c r="H431" s="137"/>
      <c r="I431" s="137"/>
      <c r="J431" s="137"/>
      <c r="K431" s="137"/>
      <c r="L431" s="137"/>
      <c r="M431" s="137"/>
      <c r="N431" s="137"/>
      <c r="O431" s="137"/>
      <c r="P431" s="137"/>
      <c r="Q431" s="137"/>
      <c r="R431" s="137"/>
      <c r="S431" s="137"/>
      <c r="T431" s="137"/>
      <c r="U431" s="137"/>
      <c r="V431" s="137"/>
      <c r="W431" s="137"/>
    </row>
    <row r="432" spans="1:23" x14ac:dyDescent="0.2">
      <c r="A432" s="137"/>
      <c r="B432" s="137"/>
      <c r="C432" s="137"/>
      <c r="D432" s="137"/>
      <c r="E432" s="137"/>
      <c r="F432" s="137"/>
      <c r="G432" s="137"/>
      <c r="H432" s="137"/>
      <c r="I432" s="137"/>
      <c r="J432" s="137"/>
      <c r="K432" s="137"/>
      <c r="L432" s="137"/>
      <c r="M432" s="137"/>
      <c r="N432" s="137"/>
      <c r="O432" s="137"/>
      <c r="P432" s="137"/>
      <c r="Q432" s="137"/>
      <c r="R432" s="137"/>
      <c r="S432" s="137"/>
      <c r="T432" s="137"/>
      <c r="U432" s="137"/>
      <c r="V432" s="137"/>
      <c r="W432" s="137"/>
    </row>
    <row r="433" spans="1:23" x14ac:dyDescent="0.2">
      <c r="A433" s="137"/>
      <c r="B433" s="137"/>
      <c r="C433" s="137"/>
      <c r="D433" s="137"/>
      <c r="E433" s="137"/>
      <c r="F433" s="137"/>
      <c r="G433" s="137"/>
      <c r="H433" s="137"/>
      <c r="I433" s="137"/>
      <c r="J433" s="137"/>
      <c r="K433" s="137"/>
      <c r="L433" s="137"/>
      <c r="M433" s="137"/>
      <c r="N433" s="137"/>
      <c r="O433" s="137"/>
      <c r="P433" s="137"/>
      <c r="Q433" s="137"/>
      <c r="R433" s="137"/>
      <c r="S433" s="137"/>
      <c r="T433" s="137"/>
      <c r="U433" s="137"/>
      <c r="V433" s="137"/>
      <c r="W433" s="137"/>
    </row>
    <row r="434" spans="1:23" x14ac:dyDescent="0.2">
      <c r="A434" s="137"/>
      <c r="B434" s="137"/>
      <c r="C434" s="137"/>
      <c r="D434" s="137"/>
      <c r="E434" s="137"/>
      <c r="F434" s="137"/>
      <c r="G434" s="137"/>
      <c r="H434" s="137"/>
      <c r="I434" s="137"/>
      <c r="J434" s="137"/>
      <c r="K434" s="137"/>
      <c r="L434" s="137"/>
      <c r="M434" s="137"/>
      <c r="N434" s="137"/>
      <c r="O434" s="137"/>
      <c r="P434" s="137"/>
      <c r="Q434" s="137"/>
      <c r="R434" s="137"/>
      <c r="S434" s="137"/>
      <c r="T434" s="137"/>
      <c r="U434" s="137"/>
      <c r="V434" s="137"/>
      <c r="W434" s="137"/>
    </row>
    <row r="435" spans="1:23" x14ac:dyDescent="0.2">
      <c r="A435" s="137"/>
      <c r="B435" s="137"/>
      <c r="C435" s="137"/>
      <c r="D435" s="137"/>
      <c r="E435" s="137"/>
      <c r="F435" s="137"/>
      <c r="G435" s="137"/>
      <c r="H435" s="137"/>
      <c r="I435" s="137"/>
      <c r="J435" s="137"/>
      <c r="K435" s="137"/>
      <c r="L435" s="137"/>
      <c r="M435" s="137"/>
      <c r="N435" s="137"/>
      <c r="O435" s="137"/>
      <c r="P435" s="137"/>
      <c r="Q435" s="137"/>
      <c r="R435" s="137"/>
      <c r="S435" s="137"/>
      <c r="T435" s="137"/>
      <c r="U435" s="137"/>
      <c r="V435" s="137"/>
      <c r="W435" s="137"/>
    </row>
    <row r="436" spans="1:23" x14ac:dyDescent="0.2">
      <c r="A436" s="137"/>
      <c r="B436" s="137"/>
      <c r="C436" s="137"/>
      <c r="D436" s="137"/>
      <c r="E436" s="137"/>
      <c r="F436" s="137"/>
      <c r="G436" s="137"/>
      <c r="H436" s="137"/>
      <c r="I436" s="137"/>
      <c r="J436" s="137"/>
      <c r="K436" s="137"/>
      <c r="L436" s="137"/>
      <c r="M436" s="137"/>
      <c r="N436" s="137"/>
      <c r="O436" s="137"/>
      <c r="P436" s="137"/>
      <c r="Q436" s="137"/>
      <c r="R436" s="137"/>
      <c r="S436" s="137"/>
      <c r="T436" s="137"/>
      <c r="U436" s="137"/>
      <c r="V436" s="137"/>
      <c r="W436" s="137"/>
    </row>
    <row r="437" spans="1:23" x14ac:dyDescent="0.2">
      <c r="A437" s="137"/>
      <c r="B437" s="137"/>
      <c r="C437" s="137"/>
      <c r="D437" s="137"/>
      <c r="E437" s="137"/>
      <c r="F437" s="137"/>
      <c r="G437" s="137"/>
      <c r="H437" s="137"/>
      <c r="I437" s="137"/>
      <c r="J437" s="137"/>
      <c r="K437" s="137"/>
      <c r="L437" s="137"/>
      <c r="M437" s="137"/>
      <c r="N437" s="137"/>
      <c r="O437" s="137"/>
      <c r="P437" s="137"/>
      <c r="Q437" s="137"/>
      <c r="R437" s="137"/>
      <c r="S437" s="137"/>
      <c r="T437" s="137"/>
      <c r="U437" s="137"/>
      <c r="V437" s="137"/>
      <c r="W437" s="137"/>
    </row>
    <row r="438" spans="1:23" x14ac:dyDescent="0.2">
      <c r="A438" s="137"/>
      <c r="B438" s="137"/>
      <c r="C438" s="137"/>
      <c r="D438" s="137"/>
      <c r="E438" s="137"/>
      <c r="F438" s="137"/>
      <c r="G438" s="137"/>
      <c r="H438" s="137"/>
      <c r="I438" s="137"/>
      <c r="J438" s="137"/>
      <c r="K438" s="137"/>
      <c r="L438" s="137"/>
      <c r="M438" s="137"/>
      <c r="N438" s="137"/>
      <c r="O438" s="137"/>
      <c r="P438" s="137"/>
      <c r="Q438" s="137"/>
      <c r="R438" s="137"/>
      <c r="S438" s="137"/>
      <c r="T438" s="137"/>
      <c r="U438" s="137"/>
      <c r="V438" s="137"/>
      <c r="W438" s="137"/>
    </row>
    <row r="439" spans="1:23" x14ac:dyDescent="0.2">
      <c r="A439" s="137"/>
      <c r="B439" s="137"/>
      <c r="C439" s="137"/>
      <c r="D439" s="137"/>
      <c r="E439" s="137"/>
      <c r="F439" s="137"/>
      <c r="G439" s="137"/>
      <c r="H439" s="137"/>
      <c r="I439" s="137"/>
      <c r="J439" s="137"/>
      <c r="K439" s="137"/>
      <c r="L439" s="137"/>
      <c r="M439" s="137"/>
      <c r="N439" s="137"/>
      <c r="O439" s="137"/>
      <c r="P439" s="137"/>
      <c r="Q439" s="137"/>
      <c r="R439" s="137"/>
      <c r="S439" s="137"/>
      <c r="T439" s="137"/>
      <c r="U439" s="137"/>
      <c r="V439" s="137"/>
      <c r="W439" s="137"/>
    </row>
    <row r="440" spans="1:23" x14ac:dyDescent="0.2">
      <c r="A440" s="137"/>
      <c r="B440" s="137"/>
      <c r="C440" s="137"/>
      <c r="D440" s="137"/>
      <c r="E440" s="137"/>
      <c r="F440" s="137"/>
      <c r="G440" s="137"/>
      <c r="H440" s="137"/>
      <c r="I440" s="137"/>
      <c r="J440" s="137"/>
      <c r="K440" s="137"/>
      <c r="L440" s="137"/>
      <c r="M440" s="137"/>
      <c r="N440" s="137"/>
      <c r="O440" s="137"/>
      <c r="P440" s="137"/>
      <c r="Q440" s="137"/>
      <c r="R440" s="137"/>
      <c r="S440" s="137"/>
      <c r="T440" s="137"/>
      <c r="U440" s="137"/>
      <c r="V440" s="137"/>
      <c r="W440" s="137"/>
    </row>
    <row r="441" spans="1:23" x14ac:dyDescent="0.2">
      <c r="A441" s="137"/>
      <c r="B441" s="137"/>
      <c r="C441" s="137"/>
      <c r="D441" s="137"/>
      <c r="E441" s="137"/>
      <c r="F441" s="137"/>
      <c r="G441" s="137"/>
      <c r="H441" s="137"/>
      <c r="I441" s="137"/>
      <c r="J441" s="137"/>
      <c r="K441" s="137"/>
      <c r="L441" s="137"/>
      <c r="M441" s="137"/>
      <c r="N441" s="137"/>
      <c r="O441" s="137"/>
      <c r="P441" s="137"/>
      <c r="Q441" s="137"/>
      <c r="R441" s="137"/>
      <c r="S441" s="137"/>
      <c r="T441" s="137"/>
      <c r="U441" s="137"/>
      <c r="V441" s="137"/>
      <c r="W441" s="137"/>
    </row>
    <row r="442" spans="1:23" x14ac:dyDescent="0.2">
      <c r="A442" s="137"/>
      <c r="B442" s="137"/>
      <c r="C442" s="137"/>
      <c r="D442" s="137"/>
      <c r="E442" s="137"/>
      <c r="F442" s="137"/>
      <c r="G442" s="137"/>
      <c r="H442" s="137"/>
      <c r="I442" s="137"/>
      <c r="J442" s="137"/>
      <c r="K442" s="137"/>
      <c r="L442" s="137"/>
      <c r="M442" s="137"/>
      <c r="N442" s="137"/>
      <c r="O442" s="137"/>
      <c r="P442" s="137"/>
      <c r="Q442" s="137"/>
      <c r="R442" s="137"/>
      <c r="S442" s="137"/>
      <c r="T442" s="137"/>
      <c r="U442" s="137"/>
      <c r="V442" s="137"/>
      <c r="W442" s="137"/>
    </row>
    <row r="443" spans="1:23" x14ac:dyDescent="0.2">
      <c r="A443" s="137"/>
      <c r="B443" s="137"/>
      <c r="C443" s="137"/>
      <c r="D443" s="137"/>
      <c r="E443" s="137"/>
      <c r="F443" s="137"/>
      <c r="G443" s="137"/>
      <c r="H443" s="137"/>
      <c r="I443" s="137"/>
      <c r="J443" s="137"/>
      <c r="K443" s="137"/>
      <c r="L443" s="137"/>
      <c r="M443" s="137"/>
      <c r="N443" s="137"/>
      <c r="O443" s="137"/>
      <c r="P443" s="137"/>
      <c r="Q443" s="137"/>
      <c r="R443" s="137"/>
      <c r="S443" s="137"/>
      <c r="T443" s="137"/>
      <c r="U443" s="137"/>
      <c r="V443" s="137"/>
      <c r="W443" s="137"/>
    </row>
    <row r="444" spans="1:23" x14ac:dyDescent="0.2">
      <c r="A444" s="137"/>
      <c r="B444" s="137"/>
      <c r="C444" s="137"/>
      <c r="D444" s="137"/>
      <c r="E444" s="137"/>
      <c r="F444" s="137"/>
      <c r="G444" s="137"/>
      <c r="H444" s="137"/>
      <c r="I444" s="137"/>
      <c r="J444" s="137"/>
      <c r="K444" s="137"/>
      <c r="L444" s="137"/>
      <c r="M444" s="137"/>
      <c r="N444" s="137"/>
      <c r="O444" s="137"/>
      <c r="P444" s="137"/>
      <c r="Q444" s="137"/>
      <c r="R444" s="137"/>
      <c r="S444" s="137"/>
      <c r="T444" s="137"/>
      <c r="U444" s="137"/>
      <c r="V444" s="137"/>
      <c r="W444" s="137"/>
    </row>
    <row r="445" spans="1:23" x14ac:dyDescent="0.2">
      <c r="A445" s="137"/>
      <c r="B445" s="137"/>
      <c r="C445" s="137"/>
      <c r="D445" s="137"/>
      <c r="E445" s="137"/>
      <c r="F445" s="137"/>
      <c r="G445" s="137"/>
      <c r="H445" s="137"/>
      <c r="I445" s="137"/>
      <c r="J445" s="137"/>
      <c r="K445" s="137"/>
      <c r="L445" s="137"/>
      <c r="M445" s="137"/>
      <c r="N445" s="137"/>
      <c r="O445" s="137"/>
      <c r="P445" s="137"/>
      <c r="Q445" s="137"/>
      <c r="R445" s="137"/>
      <c r="S445" s="137"/>
      <c r="T445" s="137"/>
      <c r="U445" s="137"/>
      <c r="V445" s="137"/>
      <c r="W445" s="137"/>
    </row>
    <row r="446" spans="1:23" x14ac:dyDescent="0.2">
      <c r="A446" s="137"/>
      <c r="B446" s="137"/>
      <c r="C446" s="137"/>
      <c r="D446" s="137"/>
      <c r="E446" s="137"/>
      <c r="F446" s="137"/>
      <c r="G446" s="137"/>
      <c r="H446" s="137"/>
      <c r="I446" s="137"/>
      <c r="J446" s="137"/>
      <c r="K446" s="137"/>
      <c r="L446" s="137"/>
      <c r="M446" s="137"/>
      <c r="N446" s="137"/>
      <c r="O446" s="137"/>
      <c r="P446" s="137"/>
      <c r="Q446" s="137"/>
      <c r="R446" s="137"/>
      <c r="S446" s="137"/>
      <c r="T446" s="137"/>
      <c r="U446" s="137"/>
      <c r="V446" s="137"/>
      <c r="W446" s="137"/>
    </row>
    <row r="447" spans="1:23" x14ac:dyDescent="0.2">
      <c r="A447" s="137"/>
      <c r="B447" s="137"/>
      <c r="C447" s="137"/>
      <c r="D447" s="137"/>
      <c r="E447" s="137"/>
      <c r="F447" s="137"/>
      <c r="G447" s="137"/>
      <c r="H447" s="137"/>
      <c r="I447" s="137"/>
      <c r="J447" s="137"/>
      <c r="K447" s="137"/>
      <c r="L447" s="137"/>
      <c r="M447" s="137"/>
      <c r="N447" s="137"/>
      <c r="O447" s="137"/>
      <c r="P447" s="137"/>
      <c r="Q447" s="137"/>
      <c r="R447" s="137"/>
      <c r="S447" s="137"/>
      <c r="T447" s="137"/>
      <c r="U447" s="137"/>
      <c r="V447" s="137"/>
      <c r="W447" s="137"/>
    </row>
    <row r="448" spans="1:23" x14ac:dyDescent="0.2">
      <c r="A448" s="137"/>
      <c r="B448" s="137"/>
      <c r="C448" s="137"/>
      <c r="D448" s="137"/>
      <c r="E448" s="137"/>
      <c r="F448" s="137"/>
      <c r="G448" s="137"/>
      <c r="H448" s="137"/>
      <c r="I448" s="137"/>
      <c r="J448" s="137"/>
      <c r="K448" s="137"/>
      <c r="L448" s="137"/>
      <c r="M448" s="137"/>
      <c r="N448" s="137"/>
      <c r="O448" s="137"/>
      <c r="P448" s="137"/>
      <c r="Q448" s="137"/>
      <c r="R448" s="137"/>
      <c r="S448" s="137"/>
      <c r="T448" s="137"/>
      <c r="U448" s="137"/>
      <c r="V448" s="137"/>
      <c r="W448" s="137"/>
    </row>
    <row r="449" spans="1:23" x14ac:dyDescent="0.2">
      <c r="A449" s="137"/>
      <c r="B449" s="137"/>
      <c r="C449" s="137"/>
      <c r="D449" s="137"/>
      <c r="E449" s="137"/>
      <c r="F449" s="137"/>
      <c r="G449" s="137"/>
      <c r="H449" s="137"/>
      <c r="I449" s="137"/>
      <c r="J449" s="137"/>
      <c r="K449" s="137"/>
      <c r="L449" s="137"/>
      <c r="M449" s="137"/>
      <c r="N449" s="137"/>
      <c r="O449" s="137"/>
      <c r="P449" s="137"/>
      <c r="Q449" s="137"/>
      <c r="R449" s="137"/>
      <c r="S449" s="137"/>
      <c r="T449" s="137"/>
      <c r="U449" s="137"/>
      <c r="V449" s="137"/>
      <c r="W449" s="137"/>
    </row>
    <row r="450" spans="1:23" x14ac:dyDescent="0.2">
      <c r="A450" s="137"/>
      <c r="B450" s="137"/>
      <c r="C450" s="137"/>
      <c r="D450" s="137"/>
      <c r="E450" s="137"/>
      <c r="F450" s="137"/>
      <c r="G450" s="137"/>
      <c r="H450" s="137"/>
      <c r="I450" s="137"/>
      <c r="J450" s="137"/>
      <c r="K450" s="137"/>
      <c r="L450" s="137"/>
      <c r="M450" s="137"/>
      <c r="N450" s="137"/>
      <c r="O450" s="137"/>
      <c r="P450" s="137"/>
      <c r="Q450" s="137"/>
      <c r="R450" s="137"/>
      <c r="S450" s="137"/>
      <c r="T450" s="137"/>
      <c r="U450" s="137"/>
      <c r="V450" s="137"/>
      <c r="W450" s="137"/>
    </row>
    <row r="451" spans="1:23" x14ac:dyDescent="0.2">
      <c r="A451" s="137"/>
      <c r="B451" s="137"/>
      <c r="C451" s="137"/>
      <c r="D451" s="137"/>
      <c r="E451" s="137"/>
      <c r="F451" s="137"/>
      <c r="G451" s="137"/>
      <c r="H451" s="137"/>
      <c r="I451" s="137"/>
      <c r="J451" s="137"/>
      <c r="K451" s="137"/>
      <c r="L451" s="137"/>
      <c r="M451" s="137"/>
      <c r="N451" s="137"/>
      <c r="O451" s="137"/>
      <c r="P451" s="137"/>
      <c r="Q451" s="137"/>
      <c r="R451" s="137"/>
      <c r="S451" s="137"/>
      <c r="T451" s="137"/>
      <c r="U451" s="137"/>
      <c r="V451" s="137"/>
      <c r="W451" s="137"/>
    </row>
    <row r="452" spans="1:23" x14ac:dyDescent="0.2">
      <c r="A452" s="137"/>
      <c r="B452" s="137"/>
      <c r="C452" s="137"/>
      <c r="D452" s="137"/>
      <c r="E452" s="137"/>
      <c r="F452" s="137"/>
      <c r="G452" s="137"/>
      <c r="H452" s="137"/>
      <c r="I452" s="137"/>
      <c r="J452" s="137"/>
      <c r="K452" s="137"/>
      <c r="L452" s="137"/>
      <c r="M452" s="137"/>
      <c r="N452" s="137"/>
      <c r="O452" s="137"/>
      <c r="P452" s="137"/>
      <c r="Q452" s="137"/>
      <c r="R452" s="137"/>
      <c r="S452" s="137"/>
      <c r="T452" s="137"/>
      <c r="U452" s="137"/>
      <c r="V452" s="137"/>
      <c r="W452" s="137"/>
    </row>
    <row r="453" spans="1:23" x14ac:dyDescent="0.2">
      <c r="A453" s="137"/>
      <c r="B453" s="137"/>
      <c r="C453" s="137"/>
      <c r="D453" s="137"/>
      <c r="E453" s="137"/>
      <c r="F453" s="137"/>
      <c r="G453" s="137"/>
      <c r="H453" s="137"/>
      <c r="I453" s="137"/>
      <c r="J453" s="137"/>
      <c r="K453" s="137"/>
      <c r="L453" s="137"/>
      <c r="M453" s="137"/>
      <c r="N453" s="137"/>
      <c r="O453" s="137"/>
      <c r="P453" s="137"/>
      <c r="Q453" s="137"/>
      <c r="R453" s="137"/>
      <c r="S453" s="137"/>
      <c r="T453" s="137"/>
      <c r="U453" s="137"/>
      <c r="V453" s="137"/>
      <c r="W453" s="137"/>
    </row>
    <row r="454" spans="1:23" x14ac:dyDescent="0.2">
      <c r="A454" s="137"/>
      <c r="B454" s="137"/>
      <c r="C454" s="137"/>
      <c r="D454" s="137"/>
      <c r="E454" s="137"/>
      <c r="F454" s="137"/>
      <c r="G454" s="137"/>
      <c r="H454" s="137"/>
      <c r="I454" s="137"/>
      <c r="J454" s="137"/>
      <c r="K454" s="137"/>
      <c r="L454" s="137"/>
      <c r="M454" s="137"/>
      <c r="N454" s="137"/>
      <c r="O454" s="137"/>
      <c r="P454" s="137"/>
      <c r="Q454" s="137"/>
      <c r="R454" s="137"/>
      <c r="S454" s="137"/>
      <c r="T454" s="137"/>
      <c r="U454" s="137"/>
      <c r="V454" s="137"/>
      <c r="W454" s="137"/>
    </row>
    <row r="455" spans="1:23" x14ac:dyDescent="0.2">
      <c r="A455" s="137"/>
      <c r="B455" s="137"/>
      <c r="C455" s="137"/>
      <c r="D455" s="137"/>
      <c r="E455" s="137"/>
      <c r="F455" s="137"/>
      <c r="G455" s="137"/>
      <c r="H455" s="137"/>
      <c r="I455" s="137"/>
      <c r="J455" s="137"/>
      <c r="K455" s="137"/>
      <c r="L455" s="137"/>
      <c r="M455" s="137"/>
      <c r="N455" s="137"/>
      <c r="O455" s="137"/>
      <c r="P455" s="137"/>
      <c r="Q455" s="137"/>
      <c r="R455" s="137"/>
      <c r="S455" s="137"/>
      <c r="T455" s="137"/>
      <c r="U455" s="137"/>
      <c r="V455" s="137"/>
      <c r="W455" s="137"/>
    </row>
    <row r="456" spans="1:23" x14ac:dyDescent="0.2">
      <c r="A456" s="137"/>
      <c r="B456" s="137"/>
      <c r="C456" s="137"/>
      <c r="D456" s="137"/>
      <c r="E456" s="137"/>
      <c r="F456" s="137"/>
      <c r="G456" s="137"/>
      <c r="H456" s="137"/>
      <c r="I456" s="137"/>
      <c r="J456" s="137"/>
      <c r="K456" s="137"/>
      <c r="L456" s="137"/>
      <c r="M456" s="137"/>
      <c r="N456" s="137"/>
      <c r="O456" s="137"/>
      <c r="P456" s="137"/>
      <c r="Q456" s="137"/>
      <c r="R456" s="137"/>
      <c r="S456" s="137"/>
      <c r="T456" s="137"/>
      <c r="U456" s="137"/>
      <c r="V456" s="137"/>
      <c r="W456" s="137"/>
    </row>
    <row r="457" spans="1:23" x14ac:dyDescent="0.2">
      <c r="A457" s="137"/>
      <c r="B457" s="137"/>
      <c r="C457" s="137"/>
      <c r="D457" s="137"/>
      <c r="E457" s="137"/>
      <c r="F457" s="137"/>
      <c r="G457" s="137"/>
      <c r="H457" s="137"/>
      <c r="I457" s="137"/>
      <c r="J457" s="137"/>
      <c r="K457" s="137"/>
      <c r="L457" s="137"/>
      <c r="M457" s="137"/>
      <c r="N457" s="137"/>
      <c r="O457" s="137"/>
      <c r="P457" s="137"/>
      <c r="Q457" s="137"/>
      <c r="R457" s="137"/>
      <c r="S457" s="137"/>
      <c r="T457" s="137"/>
      <c r="U457" s="137"/>
      <c r="V457" s="137"/>
      <c r="W457" s="137"/>
    </row>
    <row r="458" spans="1:23" x14ac:dyDescent="0.2">
      <c r="A458" s="137"/>
      <c r="B458" s="137"/>
      <c r="C458" s="137"/>
      <c r="D458" s="137"/>
      <c r="E458" s="137"/>
      <c r="F458" s="137"/>
      <c r="G458" s="137"/>
      <c r="H458" s="137"/>
      <c r="I458" s="137"/>
      <c r="J458" s="137"/>
      <c r="K458" s="137"/>
      <c r="L458" s="137"/>
      <c r="M458" s="137"/>
      <c r="N458" s="137"/>
      <c r="O458" s="137"/>
      <c r="P458" s="137"/>
      <c r="Q458" s="137"/>
      <c r="R458" s="137"/>
      <c r="S458" s="137"/>
      <c r="T458" s="137"/>
      <c r="U458" s="137"/>
      <c r="V458" s="137"/>
      <c r="W458" s="137"/>
    </row>
    <row r="459" spans="1:23" x14ac:dyDescent="0.2">
      <c r="A459" s="137"/>
      <c r="B459" s="137"/>
      <c r="C459" s="137"/>
      <c r="D459" s="137"/>
      <c r="E459" s="137"/>
      <c r="F459" s="137"/>
      <c r="G459" s="137"/>
      <c r="H459" s="137"/>
      <c r="I459" s="137"/>
      <c r="J459" s="137"/>
      <c r="K459" s="137"/>
      <c r="L459" s="137"/>
      <c r="M459" s="137"/>
      <c r="N459" s="137"/>
      <c r="O459" s="137"/>
      <c r="P459" s="137"/>
      <c r="Q459" s="137"/>
      <c r="R459" s="137"/>
      <c r="S459" s="137"/>
      <c r="T459" s="137"/>
      <c r="U459" s="137"/>
      <c r="V459" s="137"/>
      <c r="W459" s="137"/>
    </row>
    <row r="460" spans="1:23" x14ac:dyDescent="0.2">
      <c r="A460" s="137"/>
      <c r="B460" s="137"/>
      <c r="C460" s="137"/>
      <c r="D460" s="137"/>
      <c r="E460" s="137"/>
      <c r="F460" s="137"/>
      <c r="G460" s="137"/>
      <c r="H460" s="137"/>
      <c r="I460" s="137"/>
      <c r="J460" s="137"/>
      <c r="K460" s="137"/>
      <c r="L460" s="137"/>
      <c r="M460" s="137"/>
      <c r="N460" s="137"/>
      <c r="O460" s="137"/>
      <c r="P460" s="137"/>
      <c r="Q460" s="137"/>
      <c r="R460" s="137"/>
      <c r="S460" s="137"/>
      <c r="T460" s="137"/>
      <c r="U460" s="137"/>
      <c r="V460" s="137"/>
      <c r="W460" s="137"/>
    </row>
    <row r="461" spans="1:23" x14ac:dyDescent="0.2">
      <c r="A461" s="137"/>
      <c r="B461" s="137"/>
      <c r="C461" s="137"/>
      <c r="D461" s="137"/>
      <c r="E461" s="137"/>
      <c r="F461" s="137"/>
      <c r="G461" s="137"/>
      <c r="H461" s="137"/>
      <c r="I461" s="137"/>
      <c r="J461" s="137"/>
      <c r="K461" s="137"/>
      <c r="L461" s="137"/>
      <c r="M461" s="137"/>
      <c r="N461" s="137"/>
      <c r="O461" s="137"/>
      <c r="P461" s="137"/>
      <c r="Q461" s="137"/>
      <c r="R461" s="137"/>
      <c r="S461" s="137"/>
      <c r="T461" s="137"/>
      <c r="U461" s="137"/>
      <c r="V461" s="137"/>
      <c r="W461" s="137"/>
    </row>
    <row r="462" spans="1:23" x14ac:dyDescent="0.2">
      <c r="A462" s="137"/>
      <c r="B462" s="137"/>
      <c r="C462" s="137"/>
      <c r="D462" s="137"/>
      <c r="E462" s="137"/>
      <c r="F462" s="137"/>
      <c r="G462" s="137"/>
      <c r="H462" s="137"/>
      <c r="I462" s="137"/>
      <c r="J462" s="137"/>
      <c r="K462" s="137"/>
      <c r="L462" s="137"/>
      <c r="M462" s="137"/>
      <c r="N462" s="137"/>
      <c r="O462" s="137"/>
      <c r="P462" s="137"/>
      <c r="Q462" s="137"/>
      <c r="R462" s="137"/>
      <c r="S462" s="137"/>
      <c r="T462" s="137"/>
      <c r="U462" s="137"/>
      <c r="V462" s="137"/>
      <c r="W462" s="137"/>
    </row>
    <row r="463" spans="1:23" x14ac:dyDescent="0.2">
      <c r="A463" s="137"/>
      <c r="B463" s="137"/>
      <c r="C463" s="137"/>
      <c r="D463" s="137"/>
      <c r="E463" s="137"/>
      <c r="F463" s="137"/>
      <c r="G463" s="137"/>
      <c r="H463" s="137"/>
      <c r="I463" s="137"/>
      <c r="J463" s="137"/>
      <c r="K463" s="137"/>
      <c r="L463" s="137"/>
      <c r="M463" s="137"/>
      <c r="N463" s="137"/>
      <c r="O463" s="137"/>
      <c r="P463" s="137"/>
      <c r="Q463" s="137"/>
      <c r="R463" s="137"/>
      <c r="S463" s="137"/>
      <c r="T463" s="137"/>
      <c r="U463" s="137"/>
      <c r="V463" s="137"/>
      <c r="W463" s="137"/>
    </row>
    <row r="464" spans="1:23" x14ac:dyDescent="0.2">
      <c r="A464" s="137"/>
      <c r="B464" s="137"/>
      <c r="C464" s="137"/>
      <c r="D464" s="137"/>
      <c r="E464" s="137"/>
      <c r="F464" s="137"/>
      <c r="G464" s="137"/>
      <c r="H464" s="137"/>
      <c r="I464" s="137"/>
      <c r="J464" s="137"/>
      <c r="K464" s="137"/>
      <c r="L464" s="137"/>
      <c r="M464" s="137"/>
      <c r="N464" s="137"/>
      <c r="O464" s="137"/>
      <c r="P464" s="137"/>
      <c r="Q464" s="137"/>
      <c r="R464" s="137"/>
      <c r="S464" s="137"/>
      <c r="T464" s="137"/>
      <c r="U464" s="137"/>
      <c r="V464" s="137"/>
      <c r="W464" s="137"/>
    </row>
    <row r="465" spans="1:23" x14ac:dyDescent="0.2">
      <c r="A465" s="137"/>
      <c r="B465" s="137"/>
      <c r="C465" s="137"/>
      <c r="D465" s="137"/>
      <c r="E465" s="137"/>
      <c r="F465" s="137"/>
      <c r="G465" s="137"/>
      <c r="H465" s="137"/>
      <c r="I465" s="137"/>
      <c r="J465" s="137"/>
      <c r="K465" s="137"/>
      <c r="L465" s="137"/>
      <c r="M465" s="137"/>
      <c r="N465" s="137"/>
      <c r="O465" s="137"/>
      <c r="P465" s="137"/>
      <c r="Q465" s="137"/>
      <c r="R465" s="137"/>
      <c r="S465" s="137"/>
      <c r="T465" s="137"/>
      <c r="U465" s="137"/>
      <c r="V465" s="137"/>
      <c r="W465" s="137"/>
    </row>
    <row r="466" spans="1:23" x14ac:dyDescent="0.2">
      <c r="A466" s="137"/>
      <c r="B466" s="137"/>
      <c r="C466" s="137"/>
      <c r="D466" s="137"/>
      <c r="E466" s="137"/>
      <c r="F466" s="137"/>
      <c r="G466" s="137"/>
      <c r="H466" s="137"/>
      <c r="I466" s="137"/>
      <c r="J466" s="137"/>
      <c r="K466" s="137"/>
      <c r="L466" s="137"/>
      <c r="M466" s="137"/>
      <c r="N466" s="137"/>
      <c r="O466" s="137"/>
      <c r="P466" s="137"/>
      <c r="Q466" s="137"/>
      <c r="R466" s="137"/>
      <c r="S466" s="137"/>
      <c r="T466" s="137"/>
      <c r="U466" s="137"/>
      <c r="V466" s="137"/>
      <c r="W466" s="137"/>
    </row>
    <row r="467" spans="1:23" x14ac:dyDescent="0.2">
      <c r="A467" s="137"/>
      <c r="B467" s="137"/>
      <c r="C467" s="137"/>
      <c r="D467" s="137"/>
      <c r="E467" s="137"/>
      <c r="F467" s="137"/>
      <c r="G467" s="137"/>
      <c r="H467" s="137"/>
      <c r="I467" s="137"/>
      <c r="J467" s="137"/>
      <c r="K467" s="137"/>
      <c r="L467" s="137"/>
      <c r="M467" s="137"/>
      <c r="N467" s="137"/>
      <c r="O467" s="137"/>
      <c r="P467" s="137"/>
      <c r="Q467" s="137"/>
      <c r="R467" s="137"/>
      <c r="S467" s="137"/>
      <c r="T467" s="137"/>
      <c r="U467" s="137"/>
      <c r="V467" s="137"/>
      <c r="W467" s="137"/>
    </row>
    <row r="468" spans="1:23" x14ac:dyDescent="0.2">
      <c r="A468" s="137"/>
      <c r="B468" s="137"/>
      <c r="C468" s="137"/>
      <c r="D468" s="137"/>
      <c r="E468" s="137"/>
      <c r="F468" s="137"/>
      <c r="G468" s="137"/>
      <c r="H468" s="137"/>
      <c r="I468" s="137"/>
      <c r="J468" s="137"/>
      <c r="K468" s="137"/>
      <c r="L468" s="137"/>
      <c r="M468" s="137"/>
      <c r="N468" s="137"/>
      <c r="O468" s="137"/>
      <c r="P468" s="137"/>
      <c r="Q468" s="137"/>
      <c r="R468" s="137"/>
      <c r="S468" s="137"/>
      <c r="T468" s="137"/>
      <c r="U468" s="137"/>
      <c r="V468" s="137"/>
      <c r="W468" s="137"/>
    </row>
    <row r="469" spans="1:23" x14ac:dyDescent="0.2">
      <c r="A469" s="137"/>
      <c r="B469" s="137"/>
      <c r="C469" s="137"/>
      <c r="D469" s="137"/>
      <c r="E469" s="137"/>
      <c r="F469" s="137"/>
      <c r="G469" s="137"/>
      <c r="H469" s="137"/>
      <c r="I469" s="137"/>
      <c r="J469" s="137"/>
      <c r="K469" s="137"/>
      <c r="L469" s="137"/>
      <c r="M469" s="137"/>
      <c r="N469" s="137"/>
      <c r="O469" s="137"/>
      <c r="P469" s="137"/>
      <c r="Q469" s="137"/>
      <c r="R469" s="137"/>
      <c r="S469" s="137"/>
      <c r="T469" s="137"/>
      <c r="U469" s="137"/>
      <c r="V469" s="137"/>
      <c r="W469" s="137"/>
    </row>
    <row r="470" spans="1:23" x14ac:dyDescent="0.2">
      <c r="A470" s="137"/>
      <c r="B470" s="137"/>
      <c r="C470" s="137"/>
      <c r="D470" s="137"/>
      <c r="E470" s="137"/>
      <c r="F470" s="137"/>
      <c r="G470" s="137"/>
      <c r="H470" s="137"/>
      <c r="I470" s="137"/>
      <c r="J470" s="137"/>
      <c r="K470" s="137"/>
      <c r="L470" s="137"/>
      <c r="M470" s="137"/>
      <c r="N470" s="137"/>
      <c r="O470" s="137"/>
      <c r="P470" s="137"/>
      <c r="Q470" s="137"/>
      <c r="R470" s="137"/>
      <c r="S470" s="137"/>
      <c r="T470" s="137"/>
      <c r="U470" s="137"/>
      <c r="V470" s="137"/>
      <c r="W470" s="137"/>
    </row>
    <row r="471" spans="1:23" x14ac:dyDescent="0.2">
      <c r="A471" s="137"/>
      <c r="B471" s="137"/>
      <c r="C471" s="137"/>
      <c r="D471" s="137"/>
      <c r="E471" s="137"/>
      <c r="F471" s="137"/>
      <c r="G471" s="137"/>
      <c r="H471" s="137"/>
      <c r="I471" s="137"/>
      <c r="J471" s="137"/>
      <c r="K471" s="137"/>
      <c r="L471" s="137"/>
      <c r="M471" s="137"/>
      <c r="N471" s="137"/>
      <c r="O471" s="137"/>
      <c r="P471" s="137"/>
      <c r="Q471" s="137"/>
      <c r="R471" s="137"/>
      <c r="S471" s="137"/>
      <c r="T471" s="137"/>
      <c r="U471" s="137"/>
      <c r="V471" s="137"/>
      <c r="W471" s="137"/>
    </row>
    <row r="472" spans="1:23" x14ac:dyDescent="0.2">
      <c r="A472" s="137"/>
      <c r="B472" s="137"/>
      <c r="C472" s="137"/>
      <c r="D472" s="137"/>
      <c r="E472" s="137"/>
      <c r="F472" s="137"/>
      <c r="G472" s="137"/>
      <c r="H472" s="137"/>
      <c r="I472" s="137"/>
      <c r="J472" s="137"/>
      <c r="K472" s="137"/>
      <c r="L472" s="137"/>
      <c r="M472" s="137"/>
      <c r="N472" s="137"/>
      <c r="O472" s="137"/>
      <c r="P472" s="137"/>
      <c r="Q472" s="137"/>
      <c r="R472" s="137"/>
      <c r="S472" s="137"/>
      <c r="T472" s="137"/>
      <c r="U472" s="137"/>
      <c r="V472" s="137"/>
      <c r="W472" s="137"/>
    </row>
    <row r="473" spans="1:23" x14ac:dyDescent="0.2">
      <c r="A473" s="137"/>
      <c r="B473" s="137"/>
      <c r="C473" s="137"/>
      <c r="D473" s="137"/>
      <c r="E473" s="137"/>
      <c r="F473" s="137"/>
      <c r="G473" s="137"/>
      <c r="H473" s="137"/>
      <c r="I473" s="137"/>
      <c r="J473" s="137"/>
      <c r="K473" s="137"/>
      <c r="L473" s="137"/>
      <c r="M473" s="137"/>
      <c r="N473" s="137"/>
      <c r="O473" s="137"/>
      <c r="P473" s="137"/>
      <c r="Q473" s="137"/>
      <c r="R473" s="137"/>
      <c r="S473" s="137"/>
      <c r="T473" s="137"/>
      <c r="U473" s="137"/>
      <c r="V473" s="137"/>
      <c r="W473" s="137"/>
    </row>
    <row r="474" spans="1:23" x14ac:dyDescent="0.2">
      <c r="A474" s="137"/>
      <c r="B474" s="137"/>
      <c r="C474" s="137"/>
      <c r="D474" s="137"/>
      <c r="E474" s="137"/>
      <c r="F474" s="137"/>
      <c r="G474" s="137"/>
      <c r="H474" s="137"/>
      <c r="I474" s="137"/>
      <c r="J474" s="137"/>
      <c r="K474" s="137"/>
      <c r="L474" s="137"/>
      <c r="M474" s="137"/>
      <c r="N474" s="137"/>
      <c r="O474" s="137"/>
      <c r="P474" s="137"/>
      <c r="Q474" s="137"/>
      <c r="R474" s="137"/>
      <c r="S474" s="137"/>
      <c r="T474" s="137"/>
      <c r="U474" s="137"/>
      <c r="V474" s="137"/>
      <c r="W474" s="137"/>
    </row>
    <row r="475" spans="1:23" x14ac:dyDescent="0.2">
      <c r="A475" s="137"/>
      <c r="B475" s="137"/>
      <c r="C475" s="137"/>
      <c r="D475" s="137"/>
      <c r="E475" s="137"/>
      <c r="F475" s="137"/>
      <c r="G475" s="137"/>
      <c r="H475" s="137"/>
      <c r="I475" s="137"/>
      <c r="J475" s="137"/>
      <c r="K475" s="137"/>
      <c r="L475" s="137"/>
      <c r="M475" s="137"/>
      <c r="N475" s="137"/>
      <c r="O475" s="137"/>
      <c r="P475" s="137"/>
      <c r="Q475" s="137"/>
      <c r="R475" s="137"/>
      <c r="S475" s="137"/>
      <c r="T475" s="137"/>
      <c r="U475" s="137"/>
      <c r="V475" s="137"/>
      <c r="W475" s="137"/>
    </row>
    <row r="476" spans="1:23" x14ac:dyDescent="0.2">
      <c r="A476" s="137"/>
      <c r="B476" s="137"/>
      <c r="C476" s="137"/>
      <c r="D476" s="137"/>
      <c r="E476" s="137"/>
      <c r="F476" s="137"/>
      <c r="G476" s="137"/>
      <c r="H476" s="137"/>
      <c r="I476" s="137"/>
      <c r="J476" s="137"/>
      <c r="K476" s="137"/>
      <c r="L476" s="137"/>
      <c r="M476" s="137"/>
      <c r="N476" s="137"/>
      <c r="O476" s="137"/>
      <c r="P476" s="137"/>
      <c r="Q476" s="137"/>
      <c r="R476" s="137"/>
      <c r="S476" s="137"/>
      <c r="T476" s="137"/>
      <c r="U476" s="137"/>
      <c r="V476" s="137"/>
      <c r="W476" s="137"/>
    </row>
    <row r="477" spans="1:23" x14ac:dyDescent="0.2">
      <c r="A477" s="137"/>
      <c r="B477" s="137"/>
      <c r="C477" s="137"/>
      <c r="D477" s="137"/>
      <c r="E477" s="137"/>
      <c r="F477" s="137"/>
      <c r="G477" s="137"/>
      <c r="H477" s="137"/>
      <c r="I477" s="137"/>
      <c r="J477" s="137"/>
      <c r="K477" s="137"/>
      <c r="L477" s="137"/>
      <c r="M477" s="137"/>
      <c r="N477" s="137"/>
      <c r="O477" s="137"/>
      <c r="P477" s="137"/>
      <c r="Q477" s="137"/>
      <c r="R477" s="137"/>
      <c r="S477" s="137"/>
      <c r="T477" s="137"/>
      <c r="U477" s="137"/>
      <c r="V477" s="137"/>
      <c r="W477" s="137"/>
    </row>
    <row r="478" spans="1:23" x14ac:dyDescent="0.2">
      <c r="A478" s="137"/>
      <c r="B478" s="137"/>
      <c r="C478" s="137"/>
      <c r="D478" s="137"/>
      <c r="E478" s="137"/>
      <c r="F478" s="137"/>
      <c r="G478" s="137"/>
      <c r="H478" s="137"/>
      <c r="I478" s="137"/>
      <c r="J478" s="137"/>
      <c r="K478" s="137"/>
      <c r="L478" s="137"/>
      <c r="M478" s="137"/>
      <c r="N478" s="137"/>
      <c r="O478" s="137"/>
      <c r="P478" s="137"/>
      <c r="Q478" s="137"/>
      <c r="R478" s="137"/>
      <c r="S478" s="137"/>
      <c r="T478" s="137"/>
      <c r="U478" s="137"/>
      <c r="V478" s="137"/>
      <c r="W478" s="137"/>
    </row>
    <row r="479" spans="1:23" x14ac:dyDescent="0.2">
      <c r="A479" s="137"/>
      <c r="B479" s="137"/>
      <c r="C479" s="137"/>
      <c r="D479" s="137"/>
      <c r="E479" s="137"/>
      <c r="F479" s="137"/>
      <c r="G479" s="137"/>
      <c r="H479" s="137"/>
      <c r="I479" s="137"/>
      <c r="J479" s="137"/>
      <c r="K479" s="137"/>
      <c r="L479" s="137"/>
      <c r="M479" s="137"/>
      <c r="N479" s="137"/>
      <c r="O479" s="137"/>
      <c r="P479" s="137"/>
      <c r="Q479" s="137"/>
      <c r="R479" s="137"/>
      <c r="S479" s="137"/>
      <c r="T479" s="137"/>
      <c r="U479" s="137"/>
      <c r="V479" s="137"/>
      <c r="W479" s="137"/>
    </row>
    <row r="480" spans="1:23" x14ac:dyDescent="0.2">
      <c r="A480" s="137"/>
      <c r="B480" s="137"/>
      <c r="C480" s="137"/>
      <c r="D480" s="137"/>
      <c r="E480" s="137"/>
      <c r="F480" s="137"/>
      <c r="G480" s="137"/>
      <c r="H480" s="137"/>
      <c r="I480" s="137"/>
      <c r="J480" s="137"/>
      <c r="K480" s="137"/>
      <c r="L480" s="137"/>
      <c r="M480" s="137"/>
      <c r="N480" s="137"/>
      <c r="O480" s="137"/>
      <c r="P480" s="137"/>
      <c r="Q480" s="137"/>
      <c r="R480" s="137"/>
      <c r="S480" s="137"/>
      <c r="T480" s="137"/>
      <c r="U480" s="137"/>
      <c r="V480" s="137"/>
      <c r="W480" s="137"/>
    </row>
    <row r="481" spans="1:23" x14ac:dyDescent="0.2">
      <c r="A481" s="137"/>
      <c r="B481" s="137"/>
      <c r="C481" s="137"/>
      <c r="D481" s="137"/>
      <c r="E481" s="137"/>
      <c r="F481" s="137"/>
      <c r="G481" s="137"/>
      <c r="H481" s="137"/>
      <c r="I481" s="137"/>
      <c r="J481" s="137"/>
      <c r="K481" s="137"/>
      <c r="L481" s="137"/>
      <c r="M481" s="137"/>
      <c r="N481" s="137"/>
      <c r="O481" s="137"/>
      <c r="P481" s="137"/>
      <c r="Q481" s="137"/>
      <c r="R481" s="137"/>
      <c r="S481" s="137"/>
      <c r="T481" s="137"/>
      <c r="U481" s="137"/>
      <c r="V481" s="137"/>
      <c r="W481" s="137"/>
    </row>
    <row r="482" spans="1:23" x14ac:dyDescent="0.2">
      <c r="A482" s="137"/>
      <c r="B482" s="137"/>
      <c r="C482" s="137"/>
      <c r="D482" s="137"/>
      <c r="E482" s="137"/>
      <c r="F482" s="137"/>
      <c r="G482" s="137"/>
      <c r="H482" s="137"/>
      <c r="I482" s="137"/>
      <c r="J482" s="137"/>
      <c r="K482" s="137"/>
      <c r="L482" s="137"/>
      <c r="M482" s="137"/>
      <c r="N482" s="137"/>
      <c r="O482" s="137"/>
      <c r="P482" s="137"/>
      <c r="Q482" s="137"/>
      <c r="R482" s="137"/>
      <c r="S482" s="137"/>
      <c r="T482" s="137"/>
      <c r="U482" s="137"/>
      <c r="V482" s="137"/>
      <c r="W482" s="137"/>
    </row>
    <row r="483" spans="1:23" x14ac:dyDescent="0.2">
      <c r="A483" s="137"/>
      <c r="B483" s="137"/>
      <c r="C483" s="137"/>
      <c r="D483" s="137"/>
      <c r="E483" s="137"/>
      <c r="F483" s="137"/>
      <c r="G483" s="137"/>
      <c r="H483" s="137"/>
      <c r="I483" s="137"/>
      <c r="J483" s="137"/>
      <c r="K483" s="137"/>
      <c r="L483" s="137"/>
      <c r="M483" s="137"/>
      <c r="N483" s="137"/>
      <c r="O483" s="137"/>
      <c r="P483" s="137"/>
      <c r="Q483" s="137"/>
      <c r="R483" s="137"/>
      <c r="S483" s="137"/>
      <c r="T483" s="137"/>
      <c r="U483" s="137"/>
      <c r="V483" s="137"/>
      <c r="W483" s="137"/>
    </row>
    <row r="484" spans="1:23" x14ac:dyDescent="0.2">
      <c r="A484" s="137"/>
      <c r="B484" s="137"/>
      <c r="C484" s="137"/>
      <c r="D484" s="137"/>
      <c r="E484" s="137"/>
      <c r="F484" s="137"/>
      <c r="G484" s="137"/>
      <c r="H484" s="137"/>
      <c r="I484" s="137"/>
      <c r="J484" s="137"/>
      <c r="K484" s="137"/>
      <c r="L484" s="137"/>
      <c r="M484" s="137"/>
      <c r="N484" s="137"/>
      <c r="O484" s="137"/>
      <c r="P484" s="137"/>
      <c r="Q484" s="137"/>
      <c r="R484" s="137"/>
      <c r="S484" s="137"/>
      <c r="T484" s="137"/>
      <c r="U484" s="137"/>
      <c r="V484" s="137"/>
      <c r="W484" s="137"/>
    </row>
    <row r="485" spans="1:23" x14ac:dyDescent="0.2">
      <c r="A485" s="137"/>
      <c r="B485" s="137"/>
      <c r="C485" s="137"/>
      <c r="D485" s="137"/>
      <c r="E485" s="137"/>
      <c r="F485" s="137"/>
      <c r="G485" s="137"/>
      <c r="H485" s="137"/>
      <c r="I485" s="137"/>
      <c r="J485" s="137"/>
      <c r="K485" s="137"/>
      <c r="L485" s="137"/>
      <c r="M485" s="137"/>
      <c r="N485" s="137"/>
      <c r="O485" s="137"/>
      <c r="P485" s="137"/>
      <c r="Q485" s="137"/>
      <c r="R485" s="137"/>
      <c r="S485" s="137"/>
      <c r="T485" s="137"/>
      <c r="U485" s="137"/>
      <c r="V485" s="137"/>
      <c r="W485" s="137"/>
    </row>
    <row r="486" spans="1:23" x14ac:dyDescent="0.2">
      <c r="A486" s="137"/>
      <c r="B486" s="137"/>
      <c r="C486" s="137"/>
      <c r="D486" s="137"/>
      <c r="E486" s="137"/>
      <c r="F486" s="137"/>
      <c r="G486" s="137"/>
      <c r="H486" s="137"/>
      <c r="I486" s="137"/>
      <c r="J486" s="137"/>
      <c r="K486" s="137"/>
      <c r="L486" s="137"/>
      <c r="M486" s="137"/>
      <c r="N486" s="137"/>
      <c r="O486" s="137"/>
      <c r="P486" s="137"/>
      <c r="Q486" s="137"/>
      <c r="R486" s="137"/>
      <c r="S486" s="137"/>
      <c r="T486" s="137"/>
      <c r="U486" s="137"/>
      <c r="V486" s="137"/>
      <c r="W486" s="137"/>
    </row>
    <row r="487" spans="1:23" x14ac:dyDescent="0.2">
      <c r="A487" s="137"/>
      <c r="B487" s="137"/>
      <c r="C487" s="137"/>
      <c r="D487" s="137"/>
      <c r="E487" s="137"/>
      <c r="F487" s="137"/>
      <c r="G487" s="137"/>
      <c r="H487" s="137"/>
      <c r="I487" s="137"/>
      <c r="J487" s="137"/>
      <c r="K487" s="137"/>
      <c r="L487" s="137"/>
      <c r="M487" s="137"/>
      <c r="N487" s="137"/>
      <c r="O487" s="137"/>
      <c r="P487" s="137"/>
      <c r="Q487" s="137"/>
      <c r="R487" s="137"/>
      <c r="S487" s="137"/>
      <c r="T487" s="137"/>
      <c r="U487" s="137"/>
      <c r="V487" s="137"/>
      <c r="W487" s="137"/>
    </row>
    <row r="488" spans="1:23" x14ac:dyDescent="0.2">
      <c r="A488" s="137"/>
      <c r="B488" s="137"/>
      <c r="C488" s="137"/>
      <c r="D488" s="137"/>
      <c r="E488" s="137"/>
      <c r="F488" s="137"/>
      <c r="G488" s="137"/>
      <c r="H488" s="137"/>
      <c r="I488" s="137"/>
      <c r="J488" s="137"/>
      <c r="K488" s="137"/>
      <c r="L488" s="137"/>
      <c r="M488" s="137"/>
      <c r="N488" s="137"/>
      <c r="O488" s="137"/>
      <c r="P488" s="137"/>
      <c r="Q488" s="137"/>
      <c r="R488" s="137"/>
      <c r="S488" s="137"/>
      <c r="T488" s="137"/>
      <c r="U488" s="137"/>
      <c r="V488" s="137"/>
      <c r="W488" s="137"/>
    </row>
    <row r="489" spans="1:23" x14ac:dyDescent="0.2">
      <c r="A489" s="137"/>
      <c r="B489" s="137"/>
      <c r="C489" s="137"/>
      <c r="D489" s="137"/>
      <c r="E489" s="137"/>
      <c r="F489" s="137"/>
      <c r="G489" s="137"/>
      <c r="H489" s="137"/>
      <c r="I489" s="137"/>
      <c r="J489" s="137"/>
      <c r="K489" s="137"/>
      <c r="L489" s="137"/>
      <c r="M489" s="137"/>
      <c r="N489" s="137"/>
      <c r="O489" s="137"/>
      <c r="P489" s="137"/>
      <c r="Q489" s="137"/>
      <c r="R489" s="137"/>
      <c r="S489" s="137"/>
      <c r="T489" s="137"/>
      <c r="U489" s="137"/>
      <c r="V489" s="137"/>
      <c r="W489" s="137"/>
    </row>
    <row r="490" spans="1:23" x14ac:dyDescent="0.2">
      <c r="A490" s="137"/>
      <c r="B490" s="137"/>
      <c r="C490" s="137"/>
      <c r="D490" s="137"/>
      <c r="E490" s="137"/>
      <c r="F490" s="137"/>
      <c r="G490" s="137"/>
      <c r="H490" s="137"/>
      <c r="I490" s="137"/>
      <c r="J490" s="137"/>
      <c r="K490" s="137"/>
      <c r="L490" s="137"/>
      <c r="M490" s="137"/>
      <c r="N490" s="137"/>
      <c r="O490" s="137"/>
      <c r="P490" s="137"/>
      <c r="Q490" s="137"/>
      <c r="R490" s="137"/>
      <c r="S490" s="137"/>
      <c r="T490" s="137"/>
      <c r="U490" s="137"/>
      <c r="V490" s="137"/>
      <c r="W490" s="137"/>
    </row>
    <row r="491" spans="1:23" x14ac:dyDescent="0.2">
      <c r="A491" s="137"/>
      <c r="B491" s="137"/>
      <c r="C491" s="137"/>
      <c r="D491" s="137"/>
      <c r="E491" s="137"/>
      <c r="F491" s="137"/>
      <c r="G491" s="137"/>
      <c r="H491" s="137"/>
      <c r="I491" s="137"/>
      <c r="J491" s="137"/>
      <c r="K491" s="137"/>
      <c r="L491" s="137"/>
      <c r="M491" s="137"/>
      <c r="N491" s="137"/>
      <c r="O491" s="137"/>
      <c r="P491" s="137"/>
      <c r="Q491" s="137"/>
      <c r="R491" s="137"/>
      <c r="S491" s="137"/>
      <c r="T491" s="137"/>
      <c r="U491" s="137"/>
      <c r="V491" s="137"/>
      <c r="W491" s="137"/>
    </row>
    <row r="492" spans="1:23" x14ac:dyDescent="0.2">
      <c r="A492" s="137"/>
      <c r="B492" s="137"/>
      <c r="C492" s="137"/>
      <c r="D492" s="137"/>
      <c r="E492" s="137"/>
      <c r="F492" s="137"/>
      <c r="G492" s="137"/>
      <c r="H492" s="137"/>
      <c r="I492" s="137"/>
      <c r="J492" s="137"/>
      <c r="K492" s="137"/>
      <c r="L492" s="137"/>
      <c r="M492" s="137"/>
      <c r="N492" s="137"/>
      <c r="O492" s="137"/>
      <c r="P492" s="137"/>
      <c r="Q492" s="137"/>
      <c r="R492" s="137"/>
      <c r="S492" s="137"/>
      <c r="T492" s="137"/>
      <c r="U492" s="137"/>
      <c r="V492" s="137"/>
      <c r="W492" s="137"/>
    </row>
    <row r="493" spans="1:23" x14ac:dyDescent="0.2">
      <c r="A493" s="137"/>
      <c r="B493" s="137"/>
      <c r="C493" s="137"/>
      <c r="D493" s="137"/>
      <c r="E493" s="137"/>
      <c r="F493" s="137"/>
      <c r="G493" s="137"/>
      <c r="H493" s="137"/>
      <c r="I493" s="137"/>
      <c r="J493" s="137"/>
      <c r="K493" s="137"/>
      <c r="L493" s="137"/>
      <c r="M493" s="137"/>
      <c r="N493" s="137"/>
      <c r="O493" s="137"/>
      <c r="P493" s="137"/>
      <c r="Q493" s="137"/>
      <c r="R493" s="137"/>
      <c r="S493" s="137"/>
      <c r="T493" s="137"/>
      <c r="U493" s="137"/>
      <c r="V493" s="137"/>
      <c r="W493" s="137"/>
    </row>
    <row r="494" spans="1:23" x14ac:dyDescent="0.2">
      <c r="A494" s="137"/>
      <c r="B494" s="137"/>
      <c r="C494" s="137"/>
      <c r="D494" s="137"/>
      <c r="E494" s="137"/>
      <c r="F494" s="137"/>
      <c r="G494" s="137"/>
      <c r="H494" s="137"/>
      <c r="I494" s="137"/>
      <c r="J494" s="137"/>
      <c r="K494" s="137"/>
      <c r="L494" s="137"/>
      <c r="M494" s="137"/>
      <c r="N494" s="137"/>
      <c r="O494" s="137"/>
      <c r="P494" s="137"/>
      <c r="Q494" s="137"/>
      <c r="R494" s="137"/>
      <c r="S494" s="137"/>
      <c r="T494" s="137"/>
      <c r="U494" s="137"/>
      <c r="V494" s="137"/>
      <c r="W494" s="137"/>
    </row>
    <row r="495" spans="1:23" x14ac:dyDescent="0.2">
      <c r="A495" s="137"/>
      <c r="B495" s="137"/>
      <c r="C495" s="137"/>
      <c r="D495" s="137"/>
      <c r="E495" s="137"/>
      <c r="F495" s="137"/>
      <c r="G495" s="137"/>
      <c r="H495" s="137"/>
      <c r="I495" s="137"/>
      <c r="J495" s="137"/>
      <c r="K495" s="137"/>
      <c r="L495" s="137"/>
      <c r="M495" s="137"/>
      <c r="N495" s="137"/>
      <c r="O495" s="137"/>
      <c r="P495" s="137"/>
      <c r="Q495" s="137"/>
      <c r="R495" s="137"/>
      <c r="S495" s="137"/>
      <c r="T495" s="137"/>
      <c r="U495" s="137"/>
      <c r="V495" s="137"/>
      <c r="W495" s="137"/>
    </row>
    <row r="496" spans="1:23" x14ac:dyDescent="0.2">
      <c r="A496" s="137"/>
      <c r="B496" s="137"/>
      <c r="C496" s="137"/>
      <c r="D496" s="137"/>
      <c r="E496" s="137"/>
      <c r="F496" s="137"/>
      <c r="G496" s="137"/>
      <c r="H496" s="137"/>
      <c r="I496" s="137"/>
      <c r="J496" s="137"/>
      <c r="K496" s="137"/>
      <c r="L496" s="137"/>
      <c r="M496" s="137"/>
      <c r="N496" s="137"/>
      <c r="O496" s="137"/>
      <c r="P496" s="137"/>
      <c r="Q496" s="137"/>
      <c r="R496" s="137"/>
      <c r="S496" s="137"/>
      <c r="T496" s="137"/>
      <c r="U496" s="137"/>
      <c r="V496" s="137"/>
      <c r="W496" s="137"/>
    </row>
    <row r="497" spans="1:23" x14ac:dyDescent="0.2">
      <c r="A497" s="137"/>
      <c r="B497" s="137"/>
      <c r="C497" s="137"/>
      <c r="D497" s="137"/>
      <c r="E497" s="137"/>
      <c r="F497" s="137"/>
      <c r="G497" s="137"/>
      <c r="H497" s="137"/>
      <c r="I497" s="137"/>
      <c r="J497" s="137"/>
      <c r="K497" s="137"/>
      <c r="L497" s="137"/>
      <c r="M497" s="137"/>
      <c r="N497" s="137"/>
      <c r="O497" s="137"/>
      <c r="P497" s="137"/>
      <c r="Q497" s="137"/>
      <c r="R497" s="137"/>
      <c r="S497" s="137"/>
      <c r="T497" s="137"/>
      <c r="U497" s="137"/>
      <c r="V497" s="137"/>
      <c r="W497" s="137"/>
    </row>
    <row r="498" spans="1:23" x14ac:dyDescent="0.2">
      <c r="A498" s="137"/>
      <c r="B498" s="137"/>
      <c r="C498" s="137"/>
      <c r="D498" s="137"/>
      <c r="E498" s="137"/>
      <c r="F498" s="137"/>
      <c r="G498" s="137"/>
      <c r="H498" s="137"/>
      <c r="I498" s="137"/>
      <c r="J498" s="137"/>
      <c r="K498" s="137"/>
      <c r="L498" s="137"/>
      <c r="M498" s="137"/>
      <c r="N498" s="137"/>
      <c r="O498" s="137"/>
      <c r="P498" s="137"/>
      <c r="Q498" s="137"/>
      <c r="R498" s="137"/>
      <c r="S498" s="137"/>
      <c r="T498" s="137"/>
      <c r="U498" s="137"/>
      <c r="V498" s="137"/>
      <c r="W498" s="137"/>
    </row>
    <row r="499" spans="1:23" x14ac:dyDescent="0.2">
      <c r="A499" s="137"/>
      <c r="B499" s="137"/>
      <c r="C499" s="137"/>
      <c r="D499" s="137"/>
      <c r="E499" s="137"/>
      <c r="F499" s="137"/>
      <c r="G499" s="137"/>
      <c r="H499" s="137"/>
      <c r="I499" s="137"/>
      <c r="J499" s="137"/>
      <c r="K499" s="137"/>
      <c r="L499" s="137"/>
      <c r="M499" s="137"/>
      <c r="N499" s="137"/>
      <c r="O499" s="137"/>
      <c r="P499" s="137"/>
      <c r="Q499" s="137"/>
      <c r="R499" s="137"/>
      <c r="S499" s="137"/>
      <c r="T499" s="137"/>
      <c r="U499" s="137"/>
      <c r="V499" s="137"/>
      <c r="W499" s="137"/>
    </row>
    <row r="500" spans="1:23" x14ac:dyDescent="0.2">
      <c r="A500" s="137"/>
      <c r="B500" s="137"/>
      <c r="C500" s="137"/>
      <c r="D500" s="137"/>
      <c r="E500" s="137"/>
      <c r="F500" s="137"/>
      <c r="G500" s="137"/>
      <c r="H500" s="137"/>
      <c r="I500" s="137"/>
      <c r="J500" s="137"/>
      <c r="K500" s="137"/>
      <c r="L500" s="137"/>
      <c r="M500" s="137"/>
      <c r="N500" s="137"/>
      <c r="O500" s="137"/>
      <c r="P500" s="137"/>
      <c r="Q500" s="137"/>
      <c r="R500" s="137"/>
      <c r="S500" s="137"/>
      <c r="T500" s="137"/>
      <c r="U500" s="137"/>
      <c r="V500" s="137"/>
      <c r="W500" s="137"/>
    </row>
    <row r="501" spans="1:23" x14ac:dyDescent="0.2">
      <c r="A501" s="137"/>
      <c r="B501" s="137"/>
      <c r="C501" s="137"/>
      <c r="D501" s="137"/>
      <c r="E501" s="137"/>
      <c r="F501" s="137"/>
      <c r="G501" s="137"/>
      <c r="H501" s="137"/>
      <c r="I501" s="137"/>
      <c r="J501" s="137"/>
      <c r="K501" s="137"/>
      <c r="L501" s="137"/>
      <c r="M501" s="137"/>
      <c r="N501" s="137"/>
      <c r="O501" s="137"/>
      <c r="P501" s="137"/>
      <c r="Q501" s="137"/>
      <c r="R501" s="137"/>
      <c r="S501" s="137"/>
      <c r="T501" s="137"/>
      <c r="U501" s="137"/>
      <c r="V501" s="137"/>
      <c r="W501" s="137"/>
    </row>
    <row r="502" spans="1:23" x14ac:dyDescent="0.2">
      <c r="A502" s="137"/>
      <c r="B502" s="137"/>
      <c r="C502" s="137"/>
      <c r="D502" s="137"/>
      <c r="E502" s="137"/>
      <c r="F502" s="137"/>
      <c r="G502" s="137"/>
      <c r="H502" s="137"/>
      <c r="I502" s="137"/>
      <c r="J502" s="137"/>
      <c r="K502" s="137"/>
      <c r="L502" s="137"/>
      <c r="M502" s="137"/>
      <c r="N502" s="137"/>
      <c r="O502" s="137"/>
      <c r="P502" s="137"/>
      <c r="Q502" s="137"/>
      <c r="R502" s="137"/>
      <c r="S502" s="137"/>
      <c r="T502" s="137"/>
      <c r="U502" s="137"/>
      <c r="V502" s="137"/>
      <c r="W502" s="137"/>
    </row>
    <row r="503" spans="1:23" x14ac:dyDescent="0.2">
      <c r="A503" s="137"/>
      <c r="B503" s="137"/>
      <c r="C503" s="137"/>
      <c r="D503" s="137"/>
      <c r="E503" s="137"/>
      <c r="F503" s="137"/>
      <c r="G503" s="137"/>
      <c r="H503" s="137"/>
      <c r="I503" s="137"/>
      <c r="J503" s="137"/>
      <c r="K503" s="137"/>
      <c r="L503" s="137"/>
      <c r="M503" s="137"/>
      <c r="N503" s="137"/>
      <c r="O503" s="137"/>
      <c r="P503" s="137"/>
      <c r="Q503" s="137"/>
      <c r="R503" s="137"/>
      <c r="S503" s="137"/>
      <c r="T503" s="137"/>
      <c r="U503" s="137"/>
      <c r="V503" s="137"/>
      <c r="W503" s="137"/>
    </row>
    <row r="504" spans="1:23" x14ac:dyDescent="0.2">
      <c r="A504" s="137"/>
      <c r="B504" s="137"/>
      <c r="C504" s="137"/>
      <c r="D504" s="137"/>
      <c r="E504" s="137"/>
      <c r="F504" s="137"/>
      <c r="G504" s="137"/>
      <c r="H504" s="137"/>
      <c r="I504" s="137"/>
      <c r="J504" s="137"/>
      <c r="K504" s="137"/>
      <c r="L504" s="137"/>
      <c r="M504" s="137"/>
      <c r="N504" s="137"/>
      <c r="O504" s="137"/>
      <c r="P504" s="137"/>
      <c r="Q504" s="137"/>
      <c r="R504" s="137"/>
      <c r="S504" s="137"/>
      <c r="T504" s="137"/>
      <c r="U504" s="137"/>
      <c r="V504" s="137"/>
      <c r="W504" s="137"/>
    </row>
    <row r="505" spans="1:23" x14ac:dyDescent="0.2">
      <c r="A505" s="137"/>
      <c r="B505" s="137"/>
      <c r="C505" s="137"/>
      <c r="D505" s="137"/>
      <c r="E505" s="137"/>
      <c r="F505" s="137"/>
      <c r="G505" s="137"/>
      <c r="H505" s="137"/>
      <c r="I505" s="137"/>
      <c r="J505" s="137"/>
      <c r="K505" s="137"/>
      <c r="L505" s="137"/>
      <c r="M505" s="137"/>
      <c r="N505" s="137"/>
      <c r="O505" s="137"/>
      <c r="P505" s="137"/>
      <c r="Q505" s="137"/>
      <c r="R505" s="137"/>
      <c r="S505" s="137"/>
      <c r="T505" s="137"/>
      <c r="U505" s="137"/>
      <c r="V505" s="137"/>
      <c r="W505" s="137"/>
    </row>
    <row r="506" spans="1:23" x14ac:dyDescent="0.2">
      <c r="A506" s="137"/>
      <c r="B506" s="137"/>
      <c r="C506" s="137"/>
      <c r="D506" s="137"/>
      <c r="E506" s="137"/>
      <c r="F506" s="137"/>
      <c r="G506" s="137"/>
      <c r="H506" s="137"/>
      <c r="I506" s="137"/>
      <c r="J506" s="137"/>
      <c r="K506" s="137"/>
      <c r="L506" s="137"/>
      <c r="M506" s="137"/>
      <c r="N506" s="137"/>
      <c r="O506" s="137"/>
      <c r="P506" s="137"/>
      <c r="Q506" s="137"/>
      <c r="R506" s="137"/>
      <c r="S506" s="137"/>
      <c r="T506" s="137"/>
      <c r="U506" s="137"/>
      <c r="V506" s="137"/>
      <c r="W506" s="137"/>
    </row>
    <row r="507" spans="1:23" x14ac:dyDescent="0.2">
      <c r="A507" s="137"/>
      <c r="B507" s="137"/>
      <c r="C507" s="137"/>
      <c r="D507" s="137"/>
      <c r="E507" s="137"/>
      <c r="F507" s="137"/>
      <c r="G507" s="137"/>
      <c r="H507" s="137"/>
      <c r="I507" s="137"/>
      <c r="J507" s="137"/>
      <c r="K507" s="137"/>
      <c r="L507" s="137"/>
      <c r="M507" s="137"/>
      <c r="N507" s="137"/>
      <c r="O507" s="137"/>
      <c r="P507" s="137"/>
      <c r="Q507" s="137"/>
      <c r="R507" s="137"/>
      <c r="S507" s="137"/>
      <c r="T507" s="137"/>
      <c r="U507" s="137"/>
      <c r="V507" s="137"/>
      <c r="W507" s="137"/>
    </row>
    <row r="508" spans="1:23" x14ac:dyDescent="0.2">
      <c r="A508" s="137"/>
      <c r="B508" s="137"/>
      <c r="C508" s="137"/>
      <c r="D508" s="137"/>
      <c r="E508" s="137"/>
      <c r="F508" s="137"/>
      <c r="G508" s="137"/>
      <c r="H508" s="137"/>
      <c r="I508" s="137"/>
      <c r="J508" s="137"/>
      <c r="K508" s="137"/>
      <c r="L508" s="137"/>
      <c r="M508" s="137"/>
      <c r="N508" s="137"/>
      <c r="O508" s="137"/>
      <c r="P508" s="137"/>
      <c r="Q508" s="137"/>
      <c r="R508" s="137"/>
      <c r="S508" s="137"/>
      <c r="T508" s="137"/>
      <c r="U508" s="137"/>
      <c r="V508" s="137"/>
      <c r="W508" s="137"/>
    </row>
    <row r="509" spans="1:23" x14ac:dyDescent="0.2">
      <c r="A509" s="137"/>
      <c r="B509" s="137"/>
      <c r="C509" s="137"/>
      <c r="D509" s="137"/>
      <c r="E509" s="137"/>
      <c r="F509" s="137"/>
      <c r="G509" s="137"/>
      <c r="H509" s="137"/>
      <c r="I509" s="137"/>
      <c r="J509" s="137"/>
      <c r="K509" s="137"/>
      <c r="L509" s="137"/>
      <c r="M509" s="137"/>
      <c r="N509" s="137"/>
      <c r="O509" s="137"/>
      <c r="P509" s="137"/>
      <c r="Q509" s="137"/>
      <c r="R509" s="137"/>
      <c r="S509" s="137"/>
      <c r="T509" s="137"/>
      <c r="U509" s="137"/>
      <c r="V509" s="137"/>
      <c r="W509" s="137"/>
    </row>
    <row r="510" spans="1:23" x14ac:dyDescent="0.2">
      <c r="A510" s="137"/>
      <c r="B510" s="137"/>
      <c r="C510" s="137"/>
      <c r="D510" s="137"/>
      <c r="E510" s="137"/>
      <c r="F510" s="137"/>
      <c r="G510" s="137"/>
      <c r="H510" s="137"/>
      <c r="I510" s="137"/>
      <c r="J510" s="137"/>
      <c r="K510" s="137"/>
      <c r="L510" s="137"/>
      <c r="M510" s="137"/>
      <c r="N510" s="137"/>
      <c r="O510" s="137"/>
      <c r="P510" s="137"/>
      <c r="Q510" s="137"/>
      <c r="R510" s="137"/>
      <c r="S510" s="137"/>
      <c r="T510" s="137"/>
      <c r="U510" s="137"/>
      <c r="V510" s="137"/>
      <c r="W510" s="137"/>
    </row>
    <row r="511" spans="1:23" x14ac:dyDescent="0.2">
      <c r="A511" s="137"/>
      <c r="B511" s="137"/>
      <c r="C511" s="137"/>
      <c r="D511" s="137"/>
      <c r="E511" s="137"/>
      <c r="F511" s="137"/>
      <c r="G511" s="137"/>
      <c r="H511" s="137"/>
      <c r="I511" s="137"/>
      <c r="J511" s="137"/>
      <c r="K511" s="137"/>
      <c r="L511" s="137"/>
      <c r="M511" s="137"/>
      <c r="N511" s="137"/>
      <c r="O511" s="137"/>
      <c r="P511" s="137"/>
      <c r="Q511" s="137"/>
      <c r="R511" s="137"/>
      <c r="S511" s="137"/>
      <c r="T511" s="137"/>
      <c r="U511" s="137"/>
      <c r="V511" s="137"/>
      <c r="W511" s="137"/>
    </row>
    <row r="512" spans="1:23" x14ac:dyDescent="0.2">
      <c r="A512" s="137"/>
      <c r="B512" s="137"/>
      <c r="C512" s="137"/>
      <c r="D512" s="137"/>
      <c r="E512" s="137"/>
      <c r="F512" s="137"/>
      <c r="G512" s="137"/>
      <c r="H512" s="137"/>
      <c r="I512" s="137"/>
      <c r="J512" s="137"/>
      <c r="K512" s="137"/>
      <c r="L512" s="137"/>
      <c r="M512" s="137"/>
      <c r="N512" s="137"/>
      <c r="O512" s="137"/>
      <c r="P512" s="137"/>
      <c r="Q512" s="137"/>
      <c r="R512" s="137"/>
      <c r="S512" s="137"/>
      <c r="T512" s="137"/>
      <c r="U512" s="137"/>
      <c r="V512" s="137"/>
      <c r="W512" s="137"/>
    </row>
    <row r="513" spans="1:23" x14ac:dyDescent="0.2">
      <c r="A513" s="137"/>
      <c r="B513" s="137"/>
      <c r="C513" s="137"/>
      <c r="D513" s="137"/>
      <c r="E513" s="137"/>
      <c r="F513" s="137"/>
      <c r="G513" s="137"/>
      <c r="H513" s="137"/>
      <c r="I513" s="137"/>
      <c r="J513" s="137"/>
      <c r="K513" s="137"/>
      <c r="L513" s="137"/>
      <c r="M513" s="137"/>
      <c r="N513" s="137"/>
      <c r="O513" s="137"/>
      <c r="P513" s="137"/>
      <c r="Q513" s="137"/>
      <c r="R513" s="137"/>
      <c r="S513" s="137"/>
      <c r="T513" s="137"/>
      <c r="U513" s="137"/>
      <c r="V513" s="137"/>
      <c r="W513" s="137"/>
    </row>
    <row r="514" spans="1:23" x14ac:dyDescent="0.2">
      <c r="A514" s="137"/>
      <c r="B514" s="137"/>
      <c r="C514" s="137"/>
      <c r="D514" s="137"/>
      <c r="E514" s="137"/>
      <c r="F514" s="137"/>
      <c r="G514" s="137"/>
      <c r="H514" s="137"/>
      <c r="I514" s="137"/>
      <c r="J514" s="137"/>
      <c r="K514" s="137"/>
      <c r="L514" s="137"/>
      <c r="M514" s="137"/>
      <c r="N514" s="137"/>
      <c r="O514" s="137"/>
      <c r="P514" s="137"/>
      <c r="Q514" s="137"/>
      <c r="R514" s="137"/>
      <c r="S514" s="137"/>
      <c r="T514" s="137"/>
      <c r="U514" s="137"/>
      <c r="V514" s="137"/>
      <c r="W514" s="137"/>
    </row>
    <row r="515" spans="1:23" x14ac:dyDescent="0.2">
      <c r="A515" s="137"/>
      <c r="B515" s="137"/>
      <c r="C515" s="137"/>
      <c r="D515" s="137"/>
      <c r="E515" s="137"/>
      <c r="F515" s="137"/>
      <c r="G515" s="137"/>
      <c r="H515" s="137"/>
      <c r="I515" s="137"/>
      <c r="J515" s="137"/>
      <c r="K515" s="137"/>
      <c r="L515" s="137"/>
      <c r="M515" s="137"/>
      <c r="N515" s="137"/>
      <c r="O515" s="137"/>
      <c r="P515" s="137"/>
      <c r="Q515" s="137"/>
      <c r="R515" s="137"/>
      <c r="S515" s="137"/>
      <c r="T515" s="137"/>
      <c r="U515" s="137"/>
      <c r="V515" s="137"/>
      <c r="W515" s="137"/>
    </row>
    <row r="516" spans="1:23" x14ac:dyDescent="0.2">
      <c r="A516" s="137"/>
      <c r="B516" s="137"/>
      <c r="C516" s="137"/>
      <c r="D516" s="137"/>
      <c r="E516" s="137"/>
      <c r="F516" s="137"/>
      <c r="G516" s="137"/>
      <c r="H516" s="137"/>
      <c r="I516" s="137"/>
      <c r="J516" s="137"/>
      <c r="K516" s="137"/>
      <c r="L516" s="137"/>
      <c r="M516" s="137"/>
      <c r="N516" s="137"/>
      <c r="O516" s="137"/>
      <c r="P516" s="137"/>
      <c r="Q516" s="137"/>
      <c r="R516" s="137"/>
      <c r="S516" s="137"/>
      <c r="T516" s="137"/>
      <c r="U516" s="137"/>
      <c r="V516" s="137"/>
      <c r="W516" s="137"/>
    </row>
    <row r="517" spans="1:23" x14ac:dyDescent="0.2">
      <c r="A517" s="137"/>
      <c r="B517" s="137"/>
      <c r="C517" s="137"/>
      <c r="D517" s="137"/>
      <c r="E517" s="137"/>
      <c r="F517" s="137"/>
      <c r="G517" s="137"/>
      <c r="H517" s="137"/>
      <c r="I517" s="137"/>
      <c r="J517" s="137"/>
      <c r="K517" s="137"/>
      <c r="L517" s="137"/>
      <c r="M517" s="137"/>
      <c r="N517" s="137"/>
      <c r="O517" s="137"/>
      <c r="P517" s="137"/>
      <c r="Q517" s="137"/>
      <c r="R517" s="137"/>
      <c r="S517" s="137"/>
      <c r="T517" s="137"/>
      <c r="U517" s="137"/>
      <c r="V517" s="137"/>
      <c r="W517" s="137"/>
    </row>
    <row r="518" spans="1:23" x14ac:dyDescent="0.2">
      <c r="A518" s="137"/>
      <c r="B518" s="137"/>
      <c r="C518" s="137"/>
      <c r="D518" s="137"/>
      <c r="E518" s="137"/>
      <c r="F518" s="137"/>
      <c r="G518" s="137"/>
      <c r="H518" s="137"/>
      <c r="I518" s="137"/>
      <c r="J518" s="137"/>
      <c r="K518" s="137"/>
      <c r="L518" s="137"/>
      <c r="M518" s="137"/>
      <c r="N518" s="137"/>
      <c r="O518" s="137"/>
      <c r="P518" s="137"/>
      <c r="Q518" s="137"/>
      <c r="R518" s="137"/>
      <c r="S518" s="137"/>
      <c r="T518" s="137"/>
      <c r="U518" s="137"/>
      <c r="V518" s="137"/>
      <c r="W518" s="137"/>
    </row>
    <row r="519" spans="1:23" x14ac:dyDescent="0.2">
      <c r="A519" s="137"/>
      <c r="B519" s="137"/>
      <c r="C519" s="137"/>
      <c r="D519" s="137"/>
      <c r="E519" s="137"/>
      <c r="F519" s="137"/>
      <c r="G519" s="137"/>
      <c r="H519" s="137"/>
      <c r="I519" s="137"/>
      <c r="J519" s="137"/>
      <c r="K519" s="137"/>
      <c r="L519" s="137"/>
      <c r="M519" s="137"/>
      <c r="N519" s="137"/>
      <c r="O519" s="137"/>
      <c r="P519" s="137"/>
      <c r="Q519" s="137"/>
      <c r="R519" s="137"/>
      <c r="S519" s="137"/>
      <c r="T519" s="137"/>
      <c r="U519" s="137"/>
      <c r="V519" s="137"/>
      <c r="W519" s="137"/>
    </row>
    <row r="520" spans="1:23" x14ac:dyDescent="0.2">
      <c r="A520" s="137"/>
      <c r="B520" s="137"/>
      <c r="C520" s="137"/>
      <c r="D520" s="137"/>
      <c r="E520" s="137"/>
      <c r="F520" s="137"/>
      <c r="G520" s="137"/>
      <c r="H520" s="137"/>
      <c r="I520" s="137"/>
      <c r="J520" s="137"/>
      <c r="K520" s="137"/>
      <c r="L520" s="137"/>
      <c r="M520" s="137"/>
      <c r="N520" s="137"/>
      <c r="O520" s="137"/>
      <c r="P520" s="137"/>
      <c r="Q520" s="137"/>
      <c r="R520" s="137"/>
      <c r="S520" s="137"/>
      <c r="T520" s="137"/>
      <c r="U520" s="137"/>
      <c r="V520" s="137"/>
      <c r="W520" s="137"/>
    </row>
    <row r="521" spans="1:23" x14ac:dyDescent="0.2">
      <c r="A521" s="137"/>
      <c r="B521" s="137"/>
      <c r="C521" s="137"/>
      <c r="D521" s="137"/>
      <c r="E521" s="137"/>
      <c r="F521" s="137"/>
      <c r="G521" s="137"/>
      <c r="H521" s="137"/>
      <c r="I521" s="137"/>
      <c r="J521" s="137"/>
      <c r="K521" s="137"/>
      <c r="L521" s="137"/>
      <c r="M521" s="137"/>
      <c r="N521" s="137"/>
      <c r="O521" s="137"/>
      <c r="P521" s="137"/>
      <c r="Q521" s="137"/>
      <c r="R521" s="137"/>
      <c r="S521" s="137"/>
      <c r="T521" s="137"/>
      <c r="U521" s="137"/>
      <c r="V521" s="137"/>
      <c r="W521" s="137"/>
    </row>
    <row r="522" spans="1:23" x14ac:dyDescent="0.2">
      <c r="A522" s="137"/>
      <c r="B522" s="137"/>
      <c r="C522" s="137"/>
      <c r="D522" s="137"/>
      <c r="E522" s="137"/>
      <c r="F522" s="137"/>
      <c r="G522" s="137"/>
      <c r="H522" s="137"/>
      <c r="I522" s="137"/>
      <c r="J522" s="137"/>
      <c r="K522" s="137"/>
      <c r="L522" s="137"/>
      <c r="M522" s="137"/>
      <c r="N522" s="137"/>
      <c r="O522" s="137"/>
      <c r="P522" s="137"/>
      <c r="Q522" s="137"/>
      <c r="R522" s="137"/>
      <c r="S522" s="137"/>
      <c r="T522" s="137"/>
      <c r="U522" s="137"/>
      <c r="V522" s="137"/>
      <c r="W522" s="137"/>
    </row>
    <row r="523" spans="1:23" x14ac:dyDescent="0.2">
      <c r="A523" s="137"/>
      <c r="B523" s="137"/>
      <c r="C523" s="137"/>
      <c r="D523" s="137"/>
      <c r="E523" s="137"/>
      <c r="F523" s="137"/>
      <c r="G523" s="137"/>
      <c r="H523" s="137"/>
      <c r="I523" s="137"/>
      <c r="J523" s="137"/>
      <c r="K523" s="137"/>
      <c r="L523" s="137"/>
      <c r="M523" s="137"/>
      <c r="N523" s="137"/>
      <c r="O523" s="137"/>
      <c r="P523" s="137"/>
      <c r="Q523" s="137"/>
      <c r="R523" s="137"/>
      <c r="S523" s="137"/>
      <c r="T523" s="137"/>
      <c r="U523" s="137"/>
      <c r="V523" s="137"/>
      <c r="W523" s="137"/>
    </row>
    <row r="524" spans="1:23" x14ac:dyDescent="0.2">
      <c r="A524" s="137"/>
      <c r="B524" s="137"/>
      <c r="C524" s="137"/>
      <c r="D524" s="137"/>
      <c r="E524" s="137"/>
      <c r="F524" s="137"/>
      <c r="G524" s="137"/>
      <c r="H524" s="137"/>
      <c r="I524" s="137"/>
      <c r="J524" s="137"/>
      <c r="K524" s="137"/>
      <c r="L524" s="137"/>
      <c r="M524" s="137"/>
      <c r="N524" s="137"/>
      <c r="O524" s="137"/>
      <c r="P524" s="137"/>
      <c r="Q524" s="137"/>
      <c r="R524" s="137"/>
      <c r="S524" s="137"/>
      <c r="T524" s="137"/>
      <c r="U524" s="137"/>
      <c r="V524" s="137"/>
      <c r="W524" s="137"/>
    </row>
    <row r="525" spans="1:23" x14ac:dyDescent="0.2">
      <c r="A525" s="137"/>
      <c r="B525" s="137"/>
      <c r="C525" s="137"/>
      <c r="D525" s="137"/>
      <c r="E525" s="137"/>
      <c r="F525" s="137"/>
      <c r="G525" s="137"/>
      <c r="H525" s="137"/>
      <c r="I525" s="137"/>
      <c r="J525" s="137"/>
      <c r="K525" s="137"/>
      <c r="L525" s="137"/>
      <c r="M525" s="137"/>
      <c r="N525" s="137"/>
      <c r="O525" s="137"/>
      <c r="P525" s="137"/>
      <c r="Q525" s="137"/>
      <c r="R525" s="137"/>
      <c r="S525" s="137"/>
      <c r="T525" s="137"/>
      <c r="U525" s="137"/>
      <c r="V525" s="137"/>
      <c r="W525" s="137"/>
    </row>
    <row r="526" spans="1:23" x14ac:dyDescent="0.2">
      <c r="A526" s="137"/>
      <c r="B526" s="137"/>
      <c r="C526" s="137"/>
      <c r="D526" s="137"/>
      <c r="E526" s="137"/>
      <c r="F526" s="137"/>
      <c r="G526" s="137"/>
      <c r="H526" s="137"/>
      <c r="I526" s="137"/>
      <c r="J526" s="137"/>
      <c r="K526" s="137"/>
      <c r="L526" s="137"/>
      <c r="M526" s="137"/>
      <c r="N526" s="137"/>
      <c r="O526" s="137"/>
      <c r="P526" s="137"/>
      <c r="Q526" s="137"/>
      <c r="R526" s="137"/>
      <c r="S526" s="137"/>
      <c r="T526" s="137"/>
      <c r="U526" s="137"/>
      <c r="V526" s="137"/>
      <c r="W526" s="137"/>
    </row>
    <row r="527" spans="1:23" x14ac:dyDescent="0.2">
      <c r="A527" s="137"/>
      <c r="B527" s="137"/>
      <c r="C527" s="137"/>
      <c r="D527" s="137"/>
      <c r="E527" s="137"/>
      <c r="F527" s="137"/>
      <c r="G527" s="137"/>
      <c r="H527" s="137"/>
      <c r="I527" s="137"/>
      <c r="J527" s="137"/>
      <c r="K527" s="137"/>
      <c r="L527" s="137"/>
      <c r="M527" s="137"/>
      <c r="N527" s="137"/>
      <c r="O527" s="137"/>
      <c r="P527" s="137"/>
      <c r="Q527" s="137"/>
      <c r="R527" s="137"/>
      <c r="S527" s="137"/>
      <c r="T527" s="137"/>
      <c r="U527" s="137"/>
      <c r="V527" s="137"/>
      <c r="W527" s="137"/>
    </row>
    <row r="528" spans="1:23" x14ac:dyDescent="0.2">
      <c r="A528" s="137"/>
      <c r="B528" s="137"/>
      <c r="C528" s="137"/>
      <c r="D528" s="137"/>
      <c r="E528" s="137"/>
      <c r="F528" s="137"/>
      <c r="G528" s="137"/>
      <c r="H528" s="137"/>
      <c r="I528" s="137"/>
      <c r="J528" s="137"/>
      <c r="K528" s="137"/>
      <c r="L528" s="137"/>
      <c r="M528" s="137"/>
      <c r="N528" s="137"/>
      <c r="O528" s="137"/>
      <c r="P528" s="137"/>
      <c r="Q528" s="137"/>
      <c r="R528" s="137"/>
      <c r="S528" s="137"/>
      <c r="T528" s="137"/>
      <c r="U528" s="137"/>
      <c r="V528" s="137"/>
      <c r="W528" s="137"/>
    </row>
    <row r="529" spans="1:23" x14ac:dyDescent="0.2">
      <c r="A529" s="137"/>
      <c r="B529" s="137"/>
      <c r="C529" s="137"/>
      <c r="D529" s="137"/>
      <c r="E529" s="137"/>
      <c r="F529" s="137"/>
      <c r="G529" s="137"/>
      <c r="H529" s="137"/>
      <c r="I529" s="137"/>
      <c r="J529" s="137"/>
      <c r="K529" s="137"/>
      <c r="L529" s="137"/>
      <c r="M529" s="137"/>
      <c r="N529" s="137"/>
      <c r="O529" s="137"/>
      <c r="P529" s="137"/>
      <c r="Q529" s="137"/>
      <c r="R529" s="137"/>
      <c r="S529" s="137"/>
      <c r="T529" s="137"/>
      <c r="U529" s="137"/>
      <c r="V529" s="137"/>
      <c r="W529" s="137"/>
    </row>
    <row r="530" spans="1:23" x14ac:dyDescent="0.2">
      <c r="A530" s="137"/>
      <c r="B530" s="137"/>
      <c r="C530" s="137"/>
      <c r="D530" s="137"/>
      <c r="E530" s="137"/>
      <c r="F530" s="137"/>
      <c r="G530" s="137"/>
      <c r="H530" s="137"/>
      <c r="I530" s="137"/>
      <c r="J530" s="137"/>
      <c r="K530" s="137"/>
      <c r="L530" s="137"/>
      <c r="M530" s="137"/>
      <c r="N530" s="137"/>
      <c r="O530" s="137"/>
      <c r="P530" s="137"/>
      <c r="Q530" s="137"/>
      <c r="R530" s="137"/>
      <c r="S530" s="137"/>
      <c r="T530" s="137"/>
      <c r="U530" s="137"/>
      <c r="V530" s="137"/>
      <c r="W530" s="137"/>
    </row>
    <row r="531" spans="1:23" x14ac:dyDescent="0.2">
      <c r="A531" s="137"/>
      <c r="B531" s="137"/>
      <c r="C531" s="137"/>
      <c r="D531" s="137"/>
      <c r="E531" s="137"/>
      <c r="F531" s="137"/>
      <c r="G531" s="137"/>
      <c r="H531" s="137"/>
      <c r="I531" s="137"/>
      <c r="J531" s="137"/>
      <c r="K531" s="137"/>
      <c r="L531" s="137"/>
      <c r="M531" s="137"/>
      <c r="N531" s="137"/>
      <c r="O531" s="137"/>
      <c r="P531" s="137"/>
      <c r="Q531" s="137"/>
      <c r="R531" s="137"/>
      <c r="S531" s="137"/>
      <c r="T531" s="137"/>
      <c r="U531" s="137"/>
      <c r="V531" s="137"/>
      <c r="W531" s="137"/>
    </row>
    <row r="532" spans="1:23" x14ac:dyDescent="0.2">
      <c r="A532" s="137"/>
      <c r="B532" s="137"/>
      <c r="C532" s="137"/>
      <c r="D532" s="137"/>
      <c r="E532" s="137"/>
      <c r="F532" s="137"/>
      <c r="G532" s="137"/>
      <c r="H532" s="137"/>
      <c r="I532" s="137"/>
      <c r="J532" s="137"/>
      <c r="K532" s="137"/>
      <c r="L532" s="137"/>
      <c r="M532" s="137"/>
      <c r="N532" s="137"/>
      <c r="O532" s="137"/>
      <c r="P532" s="137"/>
      <c r="Q532" s="137"/>
      <c r="R532" s="137"/>
      <c r="S532" s="137"/>
      <c r="T532" s="137"/>
      <c r="U532" s="137"/>
      <c r="V532" s="137"/>
      <c r="W532" s="137"/>
    </row>
    <row r="533" spans="1:23" x14ac:dyDescent="0.2">
      <c r="A533" s="137"/>
      <c r="B533" s="137"/>
      <c r="C533" s="137"/>
      <c r="D533" s="137"/>
      <c r="E533" s="137"/>
      <c r="F533" s="137"/>
      <c r="G533" s="137"/>
      <c r="H533" s="137"/>
      <c r="I533" s="137"/>
      <c r="J533" s="137"/>
      <c r="K533" s="137"/>
      <c r="L533" s="137"/>
      <c r="M533" s="137"/>
      <c r="N533" s="137"/>
      <c r="O533" s="137"/>
      <c r="P533" s="137"/>
      <c r="Q533" s="137"/>
      <c r="R533" s="137"/>
      <c r="S533" s="137"/>
      <c r="T533" s="137"/>
      <c r="U533" s="137"/>
      <c r="V533" s="137"/>
      <c r="W533" s="137"/>
    </row>
    <row r="534" spans="1:23" x14ac:dyDescent="0.2">
      <c r="A534" s="137"/>
      <c r="B534" s="137"/>
      <c r="C534" s="137"/>
      <c r="D534" s="137"/>
      <c r="E534" s="137"/>
      <c r="F534" s="137"/>
      <c r="G534" s="137"/>
      <c r="H534" s="137"/>
      <c r="I534" s="137"/>
      <c r="J534" s="137"/>
      <c r="K534" s="137"/>
      <c r="L534" s="137"/>
      <c r="M534" s="137"/>
      <c r="N534" s="137"/>
      <c r="O534" s="137"/>
      <c r="P534" s="137"/>
      <c r="Q534" s="137"/>
      <c r="R534" s="137"/>
      <c r="S534" s="137"/>
      <c r="T534" s="137"/>
      <c r="U534" s="137"/>
      <c r="V534" s="137"/>
      <c r="W534" s="137"/>
    </row>
    <row r="535" spans="1:23" x14ac:dyDescent="0.2">
      <c r="A535" s="137"/>
      <c r="B535" s="137"/>
      <c r="C535" s="137"/>
      <c r="D535" s="137"/>
      <c r="E535" s="137"/>
      <c r="F535" s="137"/>
      <c r="G535" s="137"/>
      <c r="H535" s="137"/>
      <c r="I535" s="137"/>
      <c r="J535" s="137"/>
      <c r="K535" s="137"/>
      <c r="L535" s="137"/>
      <c r="M535" s="137"/>
      <c r="N535" s="137"/>
      <c r="O535" s="137"/>
      <c r="P535" s="137"/>
      <c r="Q535" s="137"/>
      <c r="R535" s="137"/>
      <c r="S535" s="137"/>
      <c r="T535" s="137"/>
      <c r="U535" s="137"/>
      <c r="V535" s="137"/>
      <c r="W535" s="137"/>
    </row>
    <row r="536" spans="1:23" x14ac:dyDescent="0.2">
      <c r="A536" s="137"/>
      <c r="B536" s="137"/>
      <c r="C536" s="137"/>
      <c r="D536" s="137"/>
      <c r="E536" s="137"/>
      <c r="F536" s="137"/>
      <c r="G536" s="137"/>
      <c r="H536" s="137"/>
      <c r="I536" s="137"/>
      <c r="J536" s="137"/>
      <c r="K536" s="137"/>
      <c r="L536" s="137"/>
      <c r="M536" s="137"/>
      <c r="N536" s="137"/>
      <c r="O536" s="137"/>
      <c r="P536" s="137"/>
      <c r="Q536" s="137"/>
      <c r="R536" s="137"/>
      <c r="S536" s="137"/>
      <c r="T536" s="137"/>
      <c r="U536" s="137"/>
      <c r="V536" s="137"/>
      <c r="W536" s="137"/>
    </row>
    <row r="537" spans="1:23" x14ac:dyDescent="0.2">
      <c r="A537" s="137"/>
      <c r="B537" s="137"/>
      <c r="C537" s="137"/>
      <c r="D537" s="137"/>
      <c r="E537" s="137"/>
      <c r="F537" s="137"/>
      <c r="G537" s="137"/>
      <c r="H537" s="137"/>
      <c r="I537" s="137"/>
      <c r="J537" s="137"/>
      <c r="K537" s="137"/>
      <c r="L537" s="137"/>
      <c r="M537" s="137"/>
      <c r="N537" s="137"/>
      <c r="O537" s="137"/>
      <c r="P537" s="137"/>
      <c r="Q537" s="137"/>
      <c r="R537" s="137"/>
      <c r="S537" s="137"/>
      <c r="T537" s="137"/>
      <c r="U537" s="137"/>
      <c r="V537" s="137"/>
      <c r="W537" s="137"/>
    </row>
    <row r="538" spans="1:23" x14ac:dyDescent="0.2">
      <c r="A538" s="137"/>
      <c r="B538" s="137"/>
      <c r="C538" s="137"/>
      <c r="D538" s="137"/>
      <c r="E538" s="137"/>
      <c r="F538" s="137"/>
      <c r="G538" s="137"/>
      <c r="H538" s="137"/>
      <c r="I538" s="137"/>
      <c r="J538" s="137"/>
      <c r="K538" s="137"/>
      <c r="L538" s="137"/>
      <c r="M538" s="137"/>
      <c r="N538" s="137"/>
      <c r="O538" s="137"/>
      <c r="P538" s="137"/>
      <c r="Q538" s="137"/>
      <c r="R538" s="137"/>
      <c r="S538" s="137"/>
      <c r="T538" s="137"/>
      <c r="U538" s="137"/>
      <c r="V538" s="137"/>
      <c r="W538" s="137"/>
    </row>
    <row r="539" spans="1:23" x14ac:dyDescent="0.2">
      <c r="A539" s="137"/>
      <c r="B539" s="137"/>
      <c r="C539" s="137"/>
      <c r="D539" s="137"/>
      <c r="E539" s="137"/>
      <c r="F539" s="137"/>
      <c r="G539" s="137"/>
      <c r="H539" s="137"/>
      <c r="I539" s="137"/>
      <c r="J539" s="137"/>
      <c r="K539" s="137"/>
      <c r="L539" s="137"/>
      <c r="M539" s="137"/>
      <c r="N539" s="137"/>
      <c r="O539" s="137"/>
      <c r="P539" s="137"/>
      <c r="Q539" s="137"/>
      <c r="R539" s="137"/>
      <c r="S539" s="137"/>
      <c r="T539" s="137"/>
      <c r="U539" s="137"/>
      <c r="V539" s="137"/>
      <c r="W539" s="137"/>
    </row>
    <row r="540" spans="1:23" x14ac:dyDescent="0.2">
      <c r="A540" s="137"/>
      <c r="B540" s="137"/>
      <c r="C540" s="137"/>
      <c r="D540" s="137"/>
      <c r="E540" s="137"/>
      <c r="F540" s="137"/>
      <c r="G540" s="137"/>
      <c r="H540" s="137"/>
      <c r="I540" s="137"/>
      <c r="J540" s="137"/>
      <c r="K540" s="137"/>
      <c r="L540" s="137"/>
      <c r="M540" s="137"/>
      <c r="N540" s="137"/>
      <c r="O540" s="137"/>
      <c r="P540" s="137"/>
      <c r="Q540" s="137"/>
      <c r="R540" s="137"/>
      <c r="S540" s="137"/>
      <c r="T540" s="137"/>
      <c r="U540" s="137"/>
      <c r="V540" s="137"/>
      <c r="W540" s="137"/>
    </row>
    <row r="541" spans="1:23" x14ac:dyDescent="0.2">
      <c r="A541" s="137"/>
      <c r="B541" s="137"/>
      <c r="C541" s="137"/>
      <c r="D541" s="137"/>
      <c r="E541" s="137"/>
      <c r="F541" s="137"/>
      <c r="G541" s="137"/>
      <c r="H541" s="137"/>
      <c r="I541" s="137"/>
      <c r="J541" s="137"/>
      <c r="K541" s="137"/>
      <c r="L541" s="137"/>
      <c r="M541" s="137"/>
      <c r="N541" s="137"/>
      <c r="O541" s="137"/>
      <c r="P541" s="137"/>
      <c r="Q541" s="137"/>
      <c r="R541" s="137"/>
      <c r="S541" s="137"/>
      <c r="T541" s="137"/>
      <c r="U541" s="137"/>
      <c r="V541" s="137"/>
      <c r="W541" s="137"/>
    </row>
    <row r="542" spans="1:23" x14ac:dyDescent="0.2">
      <c r="A542" s="137"/>
      <c r="B542" s="137"/>
      <c r="C542" s="137"/>
      <c r="D542" s="137"/>
      <c r="E542" s="137"/>
      <c r="F542" s="137"/>
      <c r="G542" s="137"/>
      <c r="H542" s="137"/>
      <c r="I542" s="137"/>
      <c r="J542" s="137"/>
      <c r="K542" s="137"/>
      <c r="L542" s="137"/>
      <c r="M542" s="137"/>
      <c r="N542" s="137"/>
      <c r="O542" s="137"/>
      <c r="P542" s="137"/>
      <c r="Q542" s="137"/>
      <c r="R542" s="137"/>
      <c r="S542" s="137"/>
      <c r="T542" s="137"/>
      <c r="U542" s="137"/>
      <c r="V542" s="137"/>
      <c r="W542" s="137"/>
    </row>
    <row r="543" spans="1:23" x14ac:dyDescent="0.2">
      <c r="A543" s="137"/>
      <c r="B543" s="137"/>
      <c r="C543" s="137"/>
      <c r="D543" s="137"/>
      <c r="E543" s="137"/>
      <c r="F543" s="137"/>
      <c r="G543" s="137"/>
      <c r="H543" s="137"/>
      <c r="I543" s="137"/>
      <c r="J543" s="137"/>
      <c r="K543" s="137"/>
      <c r="L543" s="137"/>
      <c r="M543" s="137"/>
      <c r="N543" s="137"/>
      <c r="O543" s="137"/>
      <c r="P543" s="137"/>
      <c r="Q543" s="137"/>
      <c r="R543" s="137"/>
      <c r="S543" s="137"/>
      <c r="T543" s="137"/>
      <c r="U543" s="137"/>
      <c r="V543" s="137"/>
      <c r="W543" s="137"/>
    </row>
    <row r="544" spans="1:23" x14ac:dyDescent="0.2">
      <c r="A544" s="137"/>
      <c r="B544" s="137"/>
      <c r="C544" s="137"/>
      <c r="D544" s="137"/>
      <c r="E544" s="137"/>
      <c r="F544" s="137"/>
      <c r="G544" s="137"/>
      <c r="H544" s="137"/>
      <c r="I544" s="137"/>
      <c r="J544" s="137"/>
      <c r="K544" s="137"/>
      <c r="L544" s="137"/>
      <c r="M544" s="137"/>
      <c r="N544" s="137"/>
      <c r="O544" s="137"/>
      <c r="P544" s="137"/>
      <c r="Q544" s="137"/>
      <c r="R544" s="137"/>
      <c r="S544" s="137"/>
      <c r="T544" s="137"/>
      <c r="U544" s="137"/>
      <c r="V544" s="137"/>
      <c r="W544" s="137"/>
    </row>
    <row r="545" spans="1:23" x14ac:dyDescent="0.2">
      <c r="A545" s="137"/>
      <c r="B545" s="137"/>
      <c r="C545" s="137"/>
      <c r="D545" s="137"/>
      <c r="E545" s="137"/>
      <c r="F545" s="137"/>
      <c r="G545" s="137"/>
      <c r="H545" s="137"/>
      <c r="I545" s="137"/>
      <c r="J545" s="137"/>
      <c r="K545" s="137"/>
      <c r="L545" s="137"/>
      <c r="M545" s="137"/>
      <c r="N545" s="137"/>
      <c r="O545" s="137"/>
      <c r="P545" s="137"/>
      <c r="Q545" s="137"/>
      <c r="R545" s="137"/>
      <c r="S545" s="137"/>
      <c r="T545" s="137"/>
      <c r="U545" s="137"/>
      <c r="V545" s="137"/>
      <c r="W545" s="137"/>
    </row>
    <row r="546" spans="1:23" x14ac:dyDescent="0.2">
      <c r="A546" s="137"/>
      <c r="B546" s="137"/>
      <c r="C546" s="137"/>
      <c r="D546" s="137"/>
      <c r="E546" s="137"/>
      <c r="F546" s="137"/>
      <c r="G546" s="137"/>
      <c r="H546" s="137"/>
      <c r="I546" s="137"/>
      <c r="J546" s="137"/>
      <c r="K546" s="137"/>
      <c r="L546" s="137"/>
      <c r="M546" s="137"/>
      <c r="N546" s="137"/>
      <c r="O546" s="137"/>
      <c r="P546" s="137"/>
      <c r="Q546" s="137"/>
      <c r="R546" s="137"/>
      <c r="S546" s="137"/>
      <c r="T546" s="137"/>
      <c r="U546" s="137"/>
      <c r="V546" s="137"/>
      <c r="W546" s="137"/>
    </row>
    <row r="547" spans="1:23" x14ac:dyDescent="0.2">
      <c r="A547" s="137"/>
      <c r="B547" s="137"/>
      <c r="C547" s="137"/>
      <c r="D547" s="137"/>
      <c r="E547" s="137"/>
      <c r="F547" s="137"/>
      <c r="G547" s="137"/>
      <c r="H547" s="137"/>
      <c r="I547" s="137"/>
      <c r="J547" s="137"/>
      <c r="K547" s="137"/>
      <c r="L547" s="137"/>
      <c r="M547" s="137"/>
      <c r="N547" s="137"/>
      <c r="O547" s="137"/>
      <c r="P547" s="137"/>
      <c r="Q547" s="137"/>
      <c r="R547" s="137"/>
      <c r="S547" s="137"/>
      <c r="T547" s="137"/>
      <c r="U547" s="137"/>
      <c r="V547" s="137"/>
      <c r="W547" s="137"/>
    </row>
    <row r="548" spans="1:23" x14ac:dyDescent="0.2">
      <c r="A548" s="137"/>
      <c r="B548" s="137"/>
      <c r="C548" s="137"/>
      <c r="D548" s="137"/>
      <c r="E548" s="137"/>
      <c r="F548" s="137"/>
      <c r="G548" s="137"/>
      <c r="H548" s="137"/>
      <c r="I548" s="137"/>
      <c r="J548" s="137"/>
      <c r="K548" s="137"/>
      <c r="L548" s="137"/>
      <c r="M548" s="137"/>
      <c r="N548" s="137"/>
      <c r="O548" s="137"/>
      <c r="P548" s="137"/>
      <c r="Q548" s="137"/>
      <c r="R548" s="137"/>
      <c r="S548" s="137"/>
      <c r="T548" s="137"/>
      <c r="U548" s="137"/>
      <c r="V548" s="137"/>
      <c r="W548" s="137"/>
    </row>
    <row r="549" spans="1:23" x14ac:dyDescent="0.2">
      <c r="A549" s="137"/>
      <c r="B549" s="137"/>
      <c r="C549" s="137"/>
      <c r="D549" s="137"/>
      <c r="E549" s="137"/>
      <c r="F549" s="137"/>
      <c r="G549" s="137"/>
      <c r="H549" s="137"/>
      <c r="I549" s="137"/>
      <c r="J549" s="137"/>
      <c r="K549" s="137"/>
      <c r="L549" s="137"/>
      <c r="M549" s="137"/>
      <c r="N549" s="137"/>
      <c r="O549" s="137"/>
      <c r="P549" s="137"/>
      <c r="Q549" s="137"/>
      <c r="R549" s="137"/>
      <c r="S549" s="137"/>
      <c r="T549" s="137"/>
      <c r="U549" s="137"/>
      <c r="V549" s="137"/>
      <c r="W549" s="137"/>
    </row>
    <row r="550" spans="1:23" x14ac:dyDescent="0.2">
      <c r="A550" s="137"/>
      <c r="B550" s="137"/>
      <c r="C550" s="137"/>
      <c r="D550" s="137"/>
      <c r="E550" s="137"/>
      <c r="F550" s="137"/>
      <c r="G550" s="137"/>
      <c r="H550" s="137"/>
      <c r="I550" s="137"/>
      <c r="J550" s="137"/>
      <c r="K550" s="137"/>
      <c r="L550" s="137"/>
      <c r="M550" s="137"/>
      <c r="N550" s="137"/>
      <c r="O550" s="137"/>
      <c r="P550" s="137"/>
      <c r="Q550" s="137"/>
      <c r="R550" s="137"/>
      <c r="S550" s="137"/>
      <c r="T550" s="137"/>
      <c r="U550" s="137"/>
      <c r="V550" s="137"/>
      <c r="W550" s="137"/>
    </row>
    <row r="551" spans="1:23" x14ac:dyDescent="0.2">
      <c r="A551" s="137"/>
      <c r="B551" s="137"/>
      <c r="C551" s="137"/>
      <c r="D551" s="137"/>
      <c r="E551" s="137"/>
      <c r="F551" s="137"/>
      <c r="G551" s="137"/>
      <c r="H551" s="137"/>
      <c r="I551" s="137"/>
      <c r="J551" s="137"/>
      <c r="K551" s="137"/>
      <c r="L551" s="137"/>
      <c r="M551" s="137"/>
      <c r="N551" s="137"/>
      <c r="O551" s="137"/>
      <c r="P551" s="137"/>
      <c r="Q551" s="137"/>
      <c r="R551" s="137"/>
      <c r="S551" s="137"/>
      <c r="T551" s="137"/>
      <c r="U551" s="137"/>
      <c r="V551" s="137"/>
      <c r="W551" s="137"/>
    </row>
    <row r="552" spans="1:23" x14ac:dyDescent="0.2">
      <c r="A552" s="137"/>
      <c r="B552" s="137"/>
      <c r="C552" s="137"/>
      <c r="D552" s="137"/>
      <c r="E552" s="137"/>
      <c r="F552" s="137"/>
      <c r="G552" s="137"/>
      <c r="H552" s="137"/>
      <c r="I552" s="137"/>
      <c r="J552" s="137"/>
      <c r="K552" s="137"/>
      <c r="L552" s="137"/>
      <c r="M552" s="137"/>
      <c r="N552" s="137"/>
      <c r="O552" s="137"/>
      <c r="P552" s="137"/>
      <c r="Q552" s="137"/>
      <c r="R552" s="137"/>
      <c r="S552" s="137"/>
      <c r="T552" s="137"/>
      <c r="U552" s="137"/>
      <c r="V552" s="137"/>
      <c r="W552" s="137"/>
    </row>
    <row r="553" spans="1:23" x14ac:dyDescent="0.2">
      <c r="A553" s="137"/>
      <c r="B553" s="137"/>
      <c r="C553" s="137"/>
      <c r="D553" s="137"/>
      <c r="E553" s="137"/>
      <c r="F553" s="137"/>
      <c r="G553" s="137"/>
      <c r="H553" s="137"/>
      <c r="I553" s="137"/>
      <c r="J553" s="137"/>
      <c r="K553" s="137"/>
      <c r="L553" s="137"/>
      <c r="M553" s="137"/>
      <c r="N553" s="137"/>
      <c r="O553" s="137"/>
      <c r="P553" s="137"/>
      <c r="Q553" s="137"/>
      <c r="R553" s="137"/>
      <c r="S553" s="137"/>
      <c r="T553" s="137"/>
      <c r="U553" s="137"/>
      <c r="V553" s="137"/>
      <c r="W553" s="137"/>
    </row>
    <row r="554" spans="1:23" x14ac:dyDescent="0.2">
      <c r="A554" s="137"/>
      <c r="B554" s="137"/>
      <c r="C554" s="137"/>
      <c r="D554" s="137"/>
      <c r="E554" s="137"/>
      <c r="F554" s="137"/>
      <c r="G554" s="137"/>
      <c r="H554" s="137"/>
      <c r="I554" s="137"/>
      <c r="J554" s="137"/>
      <c r="K554" s="137"/>
      <c r="L554" s="137"/>
      <c r="M554" s="137"/>
      <c r="N554" s="137"/>
      <c r="O554" s="137"/>
      <c r="P554" s="137"/>
      <c r="Q554" s="137"/>
      <c r="R554" s="137"/>
      <c r="S554" s="137"/>
      <c r="T554" s="137"/>
      <c r="U554" s="137"/>
      <c r="V554" s="137"/>
      <c r="W554" s="137"/>
    </row>
    <row r="555" spans="1:23" x14ac:dyDescent="0.2">
      <c r="A555" s="137"/>
      <c r="B555" s="137"/>
      <c r="C555" s="137"/>
      <c r="D555" s="137"/>
      <c r="E555" s="137"/>
      <c r="F555" s="137"/>
      <c r="G555" s="137"/>
      <c r="H555" s="137"/>
      <c r="I555" s="137"/>
      <c r="J555" s="137"/>
      <c r="K555" s="137"/>
      <c r="L555" s="137"/>
      <c r="M555" s="137"/>
      <c r="N555" s="137"/>
      <c r="O555" s="137"/>
      <c r="P555" s="137"/>
      <c r="Q555" s="137"/>
      <c r="R555" s="137"/>
      <c r="S555" s="137"/>
      <c r="T555" s="137"/>
      <c r="U555" s="137"/>
      <c r="V555" s="137"/>
      <c r="W555" s="137"/>
    </row>
    <row r="556" spans="1:23" x14ac:dyDescent="0.2">
      <c r="A556" s="137"/>
      <c r="B556" s="137"/>
      <c r="C556" s="137"/>
      <c r="D556" s="137"/>
      <c r="E556" s="137"/>
      <c r="F556" s="137"/>
      <c r="G556" s="137"/>
      <c r="H556" s="137"/>
      <c r="I556" s="137"/>
      <c r="J556" s="137"/>
      <c r="K556" s="137"/>
      <c r="L556" s="137"/>
      <c r="M556" s="137"/>
      <c r="N556" s="137"/>
      <c r="O556" s="137"/>
      <c r="P556" s="137"/>
      <c r="Q556" s="137"/>
      <c r="R556" s="137"/>
      <c r="S556" s="137"/>
      <c r="T556" s="137"/>
      <c r="U556" s="137"/>
      <c r="V556" s="137"/>
      <c r="W556" s="137"/>
    </row>
    <row r="557" spans="1:23" x14ac:dyDescent="0.2">
      <c r="A557" s="137"/>
      <c r="B557" s="137"/>
      <c r="C557" s="137"/>
      <c r="D557" s="137"/>
      <c r="E557" s="137"/>
      <c r="F557" s="137"/>
      <c r="G557" s="137"/>
      <c r="H557" s="137"/>
      <c r="I557" s="137"/>
      <c r="J557" s="137"/>
      <c r="K557" s="137"/>
      <c r="L557" s="137"/>
      <c r="M557" s="137"/>
      <c r="N557" s="137"/>
      <c r="O557" s="137"/>
      <c r="P557" s="137"/>
      <c r="Q557" s="137"/>
      <c r="R557" s="137"/>
      <c r="S557" s="137"/>
      <c r="T557" s="137"/>
      <c r="U557" s="137"/>
      <c r="V557" s="137"/>
      <c r="W557" s="137"/>
    </row>
    <row r="558" spans="1:23" x14ac:dyDescent="0.2">
      <c r="A558" s="137"/>
      <c r="B558" s="137"/>
      <c r="C558" s="137"/>
      <c r="D558" s="137"/>
      <c r="E558" s="137"/>
      <c r="F558" s="137"/>
      <c r="G558" s="137"/>
      <c r="H558" s="137"/>
      <c r="I558" s="137"/>
      <c r="J558" s="137"/>
      <c r="K558" s="137"/>
      <c r="L558" s="137"/>
      <c r="M558" s="137"/>
      <c r="N558" s="137"/>
      <c r="O558" s="137"/>
      <c r="P558" s="137"/>
      <c r="Q558" s="137"/>
      <c r="R558" s="137"/>
      <c r="S558" s="137"/>
      <c r="T558" s="137"/>
      <c r="U558" s="137"/>
      <c r="V558" s="137"/>
      <c r="W558" s="137"/>
    </row>
    <row r="559" spans="1:23" x14ac:dyDescent="0.2">
      <c r="A559" s="137"/>
      <c r="B559" s="137"/>
      <c r="C559" s="137"/>
      <c r="D559" s="137"/>
      <c r="E559" s="137"/>
      <c r="F559" s="137"/>
      <c r="G559" s="137"/>
      <c r="H559" s="137"/>
      <c r="I559" s="137"/>
      <c r="J559" s="137"/>
      <c r="K559" s="137"/>
      <c r="L559" s="137"/>
      <c r="M559" s="137"/>
      <c r="N559" s="137"/>
      <c r="O559" s="137"/>
      <c r="P559" s="137"/>
      <c r="Q559" s="137"/>
      <c r="R559" s="137"/>
      <c r="S559" s="137"/>
      <c r="T559" s="137"/>
      <c r="U559" s="137"/>
      <c r="V559" s="137"/>
      <c r="W559" s="137"/>
    </row>
    <row r="560" spans="1:23" x14ac:dyDescent="0.2">
      <c r="A560" s="137"/>
      <c r="B560" s="137"/>
      <c r="C560" s="137"/>
      <c r="D560" s="137"/>
      <c r="E560" s="137"/>
      <c r="F560" s="137"/>
      <c r="G560" s="137"/>
      <c r="H560" s="137"/>
      <c r="I560" s="137"/>
      <c r="J560" s="137"/>
      <c r="K560" s="137"/>
      <c r="L560" s="137"/>
      <c r="M560" s="137"/>
      <c r="N560" s="137"/>
      <c r="O560" s="137"/>
      <c r="P560" s="137"/>
      <c r="Q560" s="137"/>
      <c r="R560" s="137"/>
      <c r="S560" s="137"/>
      <c r="T560" s="137"/>
      <c r="U560" s="137"/>
      <c r="V560" s="137"/>
      <c r="W560" s="137"/>
    </row>
    <row r="561" spans="1:23" x14ac:dyDescent="0.2">
      <c r="A561" s="137"/>
      <c r="B561" s="137"/>
      <c r="C561" s="137"/>
      <c r="D561" s="137"/>
      <c r="E561" s="137"/>
      <c r="F561" s="137"/>
      <c r="G561" s="137"/>
      <c r="H561" s="137"/>
      <c r="I561" s="137"/>
      <c r="J561" s="137"/>
      <c r="K561" s="137"/>
      <c r="L561" s="137"/>
      <c r="M561" s="137"/>
      <c r="N561" s="137"/>
      <c r="O561" s="137"/>
      <c r="P561" s="137"/>
      <c r="Q561" s="137"/>
      <c r="R561" s="137"/>
      <c r="S561" s="137"/>
      <c r="T561" s="137"/>
      <c r="U561" s="137"/>
      <c r="V561" s="137"/>
      <c r="W561" s="137"/>
    </row>
    <row r="562" spans="1:23" x14ac:dyDescent="0.2">
      <c r="A562" s="137"/>
      <c r="B562" s="137"/>
      <c r="C562" s="137"/>
      <c r="D562" s="137"/>
      <c r="E562" s="137"/>
      <c r="F562" s="137"/>
      <c r="G562" s="137"/>
      <c r="H562" s="137"/>
      <c r="I562" s="137"/>
      <c r="J562" s="137"/>
      <c r="K562" s="137"/>
      <c r="L562" s="137"/>
      <c r="M562" s="137"/>
      <c r="N562" s="137"/>
      <c r="O562" s="137"/>
      <c r="P562" s="137"/>
      <c r="Q562" s="137"/>
      <c r="R562" s="137"/>
      <c r="S562" s="137"/>
      <c r="T562" s="137"/>
      <c r="U562" s="137"/>
      <c r="V562" s="137"/>
      <c r="W562" s="137"/>
    </row>
    <row r="563" spans="1:23" x14ac:dyDescent="0.2">
      <c r="A563" s="137"/>
      <c r="B563" s="137"/>
      <c r="C563" s="137"/>
      <c r="D563" s="137"/>
      <c r="E563" s="137"/>
      <c r="F563" s="137"/>
      <c r="G563" s="137"/>
      <c r="H563" s="137"/>
      <c r="I563" s="137"/>
      <c r="J563" s="137"/>
      <c r="K563" s="137"/>
      <c r="L563" s="137"/>
      <c r="M563" s="137"/>
      <c r="N563" s="137"/>
      <c r="O563" s="137"/>
      <c r="P563" s="137"/>
      <c r="Q563" s="137"/>
      <c r="R563" s="137"/>
      <c r="S563" s="137"/>
      <c r="T563" s="137"/>
      <c r="U563" s="137"/>
      <c r="V563" s="137"/>
      <c r="W563" s="137"/>
    </row>
    <row r="564" spans="1:23" x14ac:dyDescent="0.2">
      <c r="A564" s="137"/>
      <c r="B564" s="137"/>
      <c r="C564" s="137"/>
      <c r="D564" s="137"/>
      <c r="E564" s="137"/>
      <c r="F564" s="137"/>
      <c r="G564" s="137"/>
      <c r="H564" s="137"/>
      <c r="I564" s="137"/>
      <c r="J564" s="137"/>
      <c r="K564" s="137"/>
      <c r="L564" s="137"/>
      <c r="M564" s="137"/>
      <c r="N564" s="137"/>
      <c r="O564" s="137"/>
      <c r="P564" s="137"/>
      <c r="Q564" s="137"/>
      <c r="R564" s="137"/>
      <c r="S564" s="137"/>
      <c r="T564" s="137"/>
      <c r="U564" s="137"/>
      <c r="V564" s="137"/>
      <c r="W564" s="137"/>
    </row>
    <row r="565" spans="1:23" x14ac:dyDescent="0.2">
      <c r="A565" s="137"/>
      <c r="B565" s="137"/>
      <c r="C565" s="137"/>
      <c r="D565" s="137"/>
      <c r="E565" s="137"/>
      <c r="F565" s="137"/>
      <c r="G565" s="137"/>
      <c r="H565" s="137"/>
      <c r="I565" s="137"/>
      <c r="J565" s="137"/>
      <c r="K565" s="137"/>
      <c r="L565" s="137"/>
      <c r="M565" s="137"/>
      <c r="N565" s="137"/>
      <c r="O565" s="137"/>
      <c r="P565" s="137"/>
      <c r="Q565" s="137"/>
      <c r="R565" s="137"/>
      <c r="S565" s="137"/>
      <c r="T565" s="137"/>
      <c r="U565" s="137"/>
      <c r="V565" s="137"/>
      <c r="W565" s="137"/>
    </row>
    <row r="566" spans="1:23" x14ac:dyDescent="0.2">
      <c r="A566" s="137"/>
      <c r="B566" s="137"/>
      <c r="C566" s="137"/>
      <c r="D566" s="137"/>
      <c r="E566" s="137"/>
      <c r="F566" s="137"/>
      <c r="G566" s="137"/>
      <c r="H566" s="137"/>
      <c r="I566" s="137"/>
      <c r="J566" s="137"/>
      <c r="K566" s="137"/>
      <c r="L566" s="137"/>
      <c r="M566" s="137"/>
      <c r="N566" s="137"/>
      <c r="O566" s="137"/>
      <c r="P566" s="137"/>
      <c r="Q566" s="137"/>
      <c r="R566" s="137"/>
      <c r="S566" s="137"/>
      <c r="T566" s="137"/>
      <c r="U566" s="137"/>
      <c r="V566" s="137"/>
      <c r="W566" s="137"/>
    </row>
    <row r="567" spans="1:23" x14ac:dyDescent="0.2">
      <c r="A567" s="137"/>
      <c r="B567" s="137"/>
      <c r="C567" s="137"/>
      <c r="D567" s="137"/>
      <c r="E567" s="137"/>
      <c r="F567" s="137"/>
      <c r="G567" s="137"/>
      <c r="H567" s="137"/>
      <c r="I567" s="137"/>
      <c r="J567" s="137"/>
      <c r="K567" s="137"/>
      <c r="L567" s="137"/>
      <c r="M567" s="137"/>
      <c r="N567" s="137"/>
      <c r="O567" s="137"/>
      <c r="P567" s="137"/>
      <c r="Q567" s="137"/>
      <c r="R567" s="137"/>
      <c r="S567" s="137"/>
      <c r="T567" s="137"/>
      <c r="U567" s="137"/>
      <c r="V567" s="137"/>
      <c r="W567" s="137"/>
    </row>
    <row r="568" spans="1:23" x14ac:dyDescent="0.2">
      <c r="A568" s="137"/>
      <c r="B568" s="137"/>
      <c r="C568" s="137"/>
      <c r="D568" s="137"/>
      <c r="E568" s="137"/>
      <c r="F568" s="137"/>
      <c r="G568" s="137"/>
      <c r="H568" s="137"/>
      <c r="I568" s="137"/>
      <c r="J568" s="137"/>
      <c r="K568" s="137"/>
      <c r="L568" s="137"/>
      <c r="M568" s="137"/>
      <c r="N568" s="137"/>
      <c r="O568" s="137"/>
      <c r="P568" s="137"/>
      <c r="Q568" s="137"/>
      <c r="R568" s="137"/>
      <c r="S568" s="137"/>
      <c r="T568" s="137"/>
      <c r="U568" s="137"/>
      <c r="V568" s="137"/>
      <c r="W568" s="137"/>
    </row>
    <row r="569" spans="1:23" x14ac:dyDescent="0.2">
      <c r="A569" s="137"/>
      <c r="B569" s="137"/>
      <c r="C569" s="137"/>
      <c r="D569" s="137"/>
      <c r="E569" s="137"/>
      <c r="F569" s="137"/>
      <c r="G569" s="137"/>
      <c r="H569" s="137"/>
      <c r="I569" s="137"/>
      <c r="J569" s="137"/>
      <c r="K569" s="137"/>
      <c r="L569" s="137"/>
      <c r="M569" s="137"/>
      <c r="N569" s="137"/>
      <c r="O569" s="137"/>
      <c r="P569" s="137"/>
      <c r="Q569" s="137"/>
      <c r="R569" s="137"/>
      <c r="S569" s="137"/>
      <c r="T569" s="137"/>
      <c r="U569" s="137"/>
      <c r="V569" s="137"/>
      <c r="W569" s="137"/>
    </row>
    <row r="570" spans="1:23" x14ac:dyDescent="0.2">
      <c r="A570" s="137"/>
      <c r="B570" s="137"/>
      <c r="C570" s="137"/>
      <c r="D570" s="137"/>
      <c r="E570" s="137"/>
      <c r="F570" s="137"/>
      <c r="G570" s="137"/>
      <c r="H570" s="137"/>
      <c r="I570" s="137"/>
      <c r="J570" s="137"/>
      <c r="K570" s="137"/>
      <c r="L570" s="137"/>
      <c r="M570" s="137"/>
      <c r="N570" s="137"/>
      <c r="O570" s="137"/>
      <c r="P570" s="137"/>
      <c r="Q570" s="137"/>
      <c r="R570" s="137"/>
      <c r="S570" s="137"/>
      <c r="T570" s="137"/>
      <c r="U570" s="137"/>
      <c r="V570" s="137"/>
      <c r="W570" s="137"/>
    </row>
    <row r="571" spans="1:23" x14ac:dyDescent="0.2">
      <c r="A571" s="137"/>
      <c r="B571" s="137"/>
      <c r="C571" s="137"/>
      <c r="D571" s="137"/>
      <c r="E571" s="137"/>
      <c r="F571" s="137"/>
      <c r="G571" s="137"/>
      <c r="H571" s="137"/>
      <c r="I571" s="137"/>
      <c r="J571" s="137"/>
      <c r="K571" s="137"/>
      <c r="L571" s="137"/>
      <c r="M571" s="137"/>
      <c r="N571" s="137"/>
      <c r="O571" s="137"/>
      <c r="P571" s="137"/>
      <c r="Q571" s="137"/>
      <c r="R571" s="137"/>
      <c r="S571" s="137"/>
      <c r="T571" s="137"/>
      <c r="U571" s="137"/>
      <c r="V571" s="137"/>
      <c r="W571" s="137"/>
    </row>
    <row r="572" spans="1:23" x14ac:dyDescent="0.2">
      <c r="A572" s="137"/>
      <c r="B572" s="137"/>
      <c r="C572" s="137"/>
      <c r="D572" s="137"/>
      <c r="E572" s="137"/>
      <c r="F572" s="137"/>
      <c r="G572" s="137"/>
      <c r="H572" s="137"/>
      <c r="I572" s="137"/>
      <c r="J572" s="137"/>
      <c r="K572" s="137"/>
      <c r="L572" s="137"/>
      <c r="M572" s="137"/>
      <c r="N572" s="137"/>
      <c r="O572" s="137"/>
      <c r="P572" s="137"/>
      <c r="Q572" s="137"/>
      <c r="R572" s="137"/>
      <c r="S572" s="137"/>
      <c r="T572" s="137"/>
      <c r="U572" s="137"/>
      <c r="V572" s="137"/>
      <c r="W572" s="137"/>
    </row>
    <row r="573" spans="1:23" x14ac:dyDescent="0.2">
      <c r="A573" s="137"/>
      <c r="B573" s="137"/>
      <c r="C573" s="137"/>
      <c r="D573" s="137"/>
      <c r="E573" s="137"/>
      <c r="F573" s="137"/>
      <c r="G573" s="137"/>
      <c r="H573" s="137"/>
      <c r="I573" s="137"/>
      <c r="J573" s="137"/>
      <c r="K573" s="137"/>
      <c r="L573" s="137"/>
      <c r="M573" s="137"/>
      <c r="N573" s="137"/>
      <c r="O573" s="137"/>
      <c r="P573" s="137"/>
      <c r="Q573" s="137"/>
      <c r="R573" s="137"/>
      <c r="S573" s="137"/>
      <c r="T573" s="137"/>
      <c r="U573" s="137"/>
      <c r="V573" s="137"/>
      <c r="W573" s="137"/>
    </row>
    <row r="574" spans="1:23" x14ac:dyDescent="0.2">
      <c r="A574" s="137"/>
      <c r="B574" s="137"/>
      <c r="C574" s="137"/>
      <c r="D574" s="137"/>
      <c r="E574" s="137"/>
      <c r="F574" s="137"/>
      <c r="G574" s="137"/>
      <c r="H574" s="137"/>
      <c r="I574" s="137"/>
      <c r="J574" s="137"/>
      <c r="K574" s="137"/>
      <c r="L574" s="137"/>
      <c r="M574" s="137"/>
      <c r="N574" s="137"/>
      <c r="O574" s="137"/>
      <c r="P574" s="137"/>
      <c r="Q574" s="137"/>
      <c r="R574" s="137"/>
      <c r="S574" s="137"/>
      <c r="T574" s="137"/>
      <c r="U574" s="137"/>
      <c r="V574" s="137"/>
      <c r="W574" s="137"/>
    </row>
    <row r="575" spans="1:23" x14ac:dyDescent="0.2">
      <c r="A575" s="137"/>
      <c r="B575" s="137"/>
      <c r="C575" s="137"/>
      <c r="D575" s="137"/>
      <c r="E575" s="137"/>
      <c r="F575" s="137"/>
      <c r="G575" s="137"/>
      <c r="H575" s="137"/>
      <c r="I575" s="137"/>
      <c r="J575" s="137"/>
      <c r="K575" s="137"/>
      <c r="L575" s="137"/>
      <c r="M575" s="137"/>
      <c r="N575" s="137"/>
      <c r="O575" s="137"/>
      <c r="P575" s="137"/>
      <c r="Q575" s="137"/>
      <c r="R575" s="137"/>
      <c r="S575" s="137"/>
      <c r="T575" s="137"/>
      <c r="U575" s="137"/>
      <c r="V575" s="137"/>
      <c r="W575" s="137"/>
    </row>
    <row r="576" spans="1:23" x14ac:dyDescent="0.2">
      <c r="A576" s="137"/>
      <c r="B576" s="137"/>
      <c r="C576" s="137"/>
      <c r="D576" s="137"/>
      <c r="E576" s="137"/>
      <c r="F576" s="137"/>
      <c r="G576" s="137"/>
      <c r="H576" s="137"/>
      <c r="I576" s="137"/>
      <c r="J576" s="137"/>
      <c r="K576" s="137"/>
      <c r="L576" s="137"/>
      <c r="M576" s="137"/>
      <c r="N576" s="137"/>
      <c r="O576" s="137"/>
      <c r="P576" s="137"/>
      <c r="Q576" s="137"/>
      <c r="R576" s="137"/>
      <c r="S576" s="137"/>
      <c r="T576" s="137"/>
      <c r="U576" s="137"/>
      <c r="V576" s="137"/>
      <c r="W576" s="137"/>
    </row>
    <row r="577" spans="1:23" x14ac:dyDescent="0.2">
      <c r="A577" s="137"/>
      <c r="B577" s="137"/>
      <c r="C577" s="137"/>
      <c r="D577" s="137"/>
      <c r="E577" s="137"/>
      <c r="F577" s="137"/>
      <c r="G577" s="137"/>
      <c r="H577" s="137"/>
      <c r="I577" s="137"/>
      <c r="J577" s="137"/>
      <c r="K577" s="137"/>
      <c r="L577" s="137"/>
      <c r="M577" s="137"/>
      <c r="N577" s="137"/>
      <c r="O577" s="137"/>
      <c r="P577" s="137"/>
      <c r="Q577" s="137"/>
      <c r="R577" s="137"/>
      <c r="S577" s="137"/>
      <c r="T577" s="137"/>
      <c r="U577" s="137"/>
      <c r="V577" s="137"/>
      <c r="W577" s="137"/>
    </row>
    <row r="578" spans="1:23" x14ac:dyDescent="0.2">
      <c r="A578" s="137"/>
      <c r="B578" s="137"/>
      <c r="C578" s="137"/>
      <c r="D578" s="137"/>
      <c r="E578" s="137"/>
      <c r="F578" s="137"/>
      <c r="G578" s="137"/>
      <c r="H578" s="137"/>
      <c r="I578" s="137"/>
      <c r="J578" s="137"/>
      <c r="K578" s="137"/>
      <c r="L578" s="137"/>
      <c r="M578" s="137"/>
      <c r="N578" s="137"/>
      <c r="O578" s="137"/>
      <c r="P578" s="137"/>
      <c r="Q578" s="137"/>
      <c r="R578" s="137"/>
      <c r="S578" s="137"/>
      <c r="T578" s="137"/>
      <c r="U578" s="137"/>
      <c r="V578" s="137"/>
      <c r="W578" s="137"/>
    </row>
    <row r="579" spans="1:23" x14ac:dyDescent="0.2">
      <c r="A579" s="137"/>
      <c r="B579" s="137"/>
      <c r="C579" s="137"/>
      <c r="D579" s="137"/>
      <c r="E579" s="137"/>
      <c r="F579" s="137"/>
      <c r="G579" s="137"/>
      <c r="H579" s="137"/>
      <c r="I579" s="137"/>
      <c r="J579" s="137"/>
      <c r="K579" s="137"/>
      <c r="L579" s="137"/>
      <c r="M579" s="137"/>
      <c r="N579" s="137"/>
      <c r="O579" s="137"/>
      <c r="P579" s="137"/>
      <c r="Q579" s="137"/>
      <c r="R579" s="137"/>
      <c r="S579" s="137"/>
      <c r="T579" s="137"/>
      <c r="U579" s="137"/>
      <c r="V579" s="137"/>
      <c r="W579" s="137"/>
    </row>
    <row r="580" spans="1:23" x14ac:dyDescent="0.2">
      <c r="A580" s="137"/>
      <c r="B580" s="137"/>
      <c r="C580" s="137"/>
      <c r="D580" s="137"/>
      <c r="E580" s="137"/>
      <c r="F580" s="137"/>
      <c r="G580" s="137"/>
      <c r="H580" s="137"/>
      <c r="I580" s="137"/>
      <c r="J580" s="137"/>
      <c r="K580" s="137"/>
      <c r="L580" s="137"/>
      <c r="M580" s="137"/>
      <c r="N580" s="137"/>
      <c r="O580" s="137"/>
      <c r="P580" s="137"/>
      <c r="Q580" s="137"/>
      <c r="R580" s="137"/>
      <c r="S580" s="137"/>
      <c r="T580" s="137"/>
      <c r="U580" s="137"/>
      <c r="V580" s="137"/>
      <c r="W580" s="137"/>
    </row>
    <row r="581" spans="1:23" x14ac:dyDescent="0.2">
      <c r="A581" s="137"/>
      <c r="B581" s="137"/>
      <c r="C581" s="137"/>
      <c r="D581" s="137"/>
      <c r="E581" s="137"/>
      <c r="F581" s="137"/>
      <c r="G581" s="137"/>
      <c r="H581" s="137"/>
      <c r="I581" s="137"/>
      <c r="J581" s="137"/>
      <c r="K581" s="137"/>
      <c r="L581" s="137"/>
      <c r="M581" s="137"/>
      <c r="N581" s="137"/>
      <c r="O581" s="137"/>
      <c r="P581" s="137"/>
      <c r="Q581" s="137"/>
      <c r="R581" s="137"/>
      <c r="S581" s="137"/>
      <c r="T581" s="137"/>
      <c r="U581" s="137"/>
      <c r="V581" s="137"/>
      <c r="W581" s="137"/>
    </row>
    <row r="582" spans="1:23" x14ac:dyDescent="0.2">
      <c r="A582" s="137"/>
      <c r="B582" s="137"/>
      <c r="C582" s="137"/>
      <c r="D582" s="137"/>
      <c r="E582" s="137"/>
      <c r="F582" s="137"/>
      <c r="G582" s="137"/>
      <c r="H582" s="137"/>
      <c r="I582" s="137"/>
      <c r="J582" s="137"/>
      <c r="K582" s="137"/>
      <c r="L582" s="137"/>
      <c r="M582" s="137"/>
      <c r="N582" s="137"/>
      <c r="O582" s="137"/>
      <c r="P582" s="137"/>
      <c r="Q582" s="137"/>
      <c r="R582" s="137"/>
      <c r="S582" s="137"/>
      <c r="T582" s="137"/>
      <c r="U582" s="137"/>
      <c r="V582" s="137"/>
      <c r="W582" s="137"/>
    </row>
    <row r="583" spans="1:23" x14ac:dyDescent="0.2">
      <c r="A583" s="137"/>
      <c r="B583" s="137"/>
      <c r="C583" s="137"/>
      <c r="D583" s="137"/>
      <c r="E583" s="137"/>
      <c r="F583" s="137"/>
      <c r="G583" s="137"/>
      <c r="H583" s="137"/>
      <c r="I583" s="137"/>
      <c r="J583" s="137"/>
      <c r="K583" s="137"/>
      <c r="L583" s="137"/>
      <c r="M583" s="137"/>
      <c r="N583" s="137"/>
      <c r="O583" s="137"/>
      <c r="P583" s="137"/>
      <c r="Q583" s="137"/>
      <c r="R583" s="137"/>
      <c r="S583" s="137"/>
      <c r="T583" s="137"/>
      <c r="U583" s="137"/>
      <c r="V583" s="137"/>
      <c r="W583" s="137"/>
    </row>
    <row r="584" spans="1:23" x14ac:dyDescent="0.2">
      <c r="A584" s="137"/>
      <c r="B584" s="137"/>
      <c r="C584" s="137"/>
      <c r="D584" s="137"/>
      <c r="E584" s="137"/>
      <c r="F584" s="137"/>
      <c r="G584" s="137"/>
      <c r="H584" s="137"/>
      <c r="I584" s="137"/>
      <c r="J584" s="137"/>
      <c r="K584" s="137"/>
      <c r="L584" s="137"/>
      <c r="M584" s="137"/>
      <c r="N584" s="137"/>
      <c r="O584" s="137"/>
      <c r="P584" s="137"/>
      <c r="Q584" s="137"/>
      <c r="R584" s="137"/>
      <c r="S584" s="137"/>
      <c r="T584" s="137"/>
      <c r="U584" s="137"/>
      <c r="V584" s="137"/>
      <c r="W584" s="137"/>
    </row>
    <row r="585" spans="1:23" x14ac:dyDescent="0.2">
      <c r="A585" s="137"/>
      <c r="B585" s="137"/>
      <c r="C585" s="137"/>
      <c r="D585" s="137"/>
      <c r="E585" s="137"/>
      <c r="F585" s="137"/>
      <c r="G585" s="137"/>
      <c r="H585" s="137"/>
      <c r="I585" s="137"/>
      <c r="J585" s="137"/>
      <c r="K585" s="137"/>
      <c r="L585" s="137"/>
      <c r="M585" s="137"/>
      <c r="N585" s="137"/>
      <c r="O585" s="137"/>
      <c r="P585" s="137"/>
      <c r="Q585" s="137"/>
      <c r="R585" s="137"/>
      <c r="S585" s="137"/>
      <c r="T585" s="137"/>
      <c r="U585" s="137"/>
      <c r="V585" s="137"/>
      <c r="W585" s="137"/>
    </row>
    <row r="586" spans="1:23" x14ac:dyDescent="0.2">
      <c r="A586" s="137"/>
      <c r="B586" s="137"/>
      <c r="C586" s="137"/>
      <c r="D586" s="137"/>
      <c r="E586" s="137"/>
      <c r="F586" s="137"/>
      <c r="G586" s="137"/>
      <c r="H586" s="137"/>
      <c r="I586" s="137"/>
      <c r="J586" s="137"/>
      <c r="K586" s="137"/>
      <c r="L586" s="137"/>
      <c r="M586" s="137"/>
      <c r="N586" s="137"/>
      <c r="O586" s="137"/>
      <c r="P586" s="137"/>
      <c r="Q586" s="137"/>
      <c r="R586" s="137"/>
      <c r="S586" s="137"/>
      <c r="T586" s="137"/>
      <c r="U586" s="137"/>
      <c r="V586" s="137"/>
      <c r="W586" s="137"/>
    </row>
    <row r="587" spans="1:23" x14ac:dyDescent="0.2">
      <c r="A587" s="137"/>
      <c r="B587" s="137"/>
      <c r="C587" s="137"/>
      <c r="D587" s="137"/>
      <c r="E587" s="137"/>
      <c r="F587" s="137"/>
      <c r="G587" s="137"/>
      <c r="H587" s="137"/>
      <c r="I587" s="137"/>
      <c r="J587" s="137"/>
      <c r="K587" s="137"/>
      <c r="L587" s="137"/>
      <c r="M587" s="137"/>
      <c r="N587" s="137"/>
      <c r="O587" s="137"/>
      <c r="P587" s="137"/>
      <c r="Q587" s="137"/>
      <c r="R587" s="137"/>
      <c r="S587" s="137"/>
      <c r="T587" s="137"/>
      <c r="U587" s="137"/>
      <c r="V587" s="137"/>
      <c r="W587" s="137"/>
    </row>
    <row r="588" spans="1:23" x14ac:dyDescent="0.2">
      <c r="A588" s="137"/>
      <c r="B588" s="137"/>
      <c r="C588" s="137"/>
      <c r="D588" s="137"/>
      <c r="E588" s="137"/>
      <c r="F588" s="137"/>
      <c r="G588" s="137"/>
      <c r="H588" s="137"/>
      <c r="I588" s="137"/>
      <c r="J588" s="137"/>
      <c r="K588" s="137"/>
      <c r="L588" s="137"/>
      <c r="M588" s="137"/>
      <c r="N588" s="137"/>
      <c r="O588" s="137"/>
      <c r="P588" s="137"/>
      <c r="Q588" s="137"/>
      <c r="R588" s="137"/>
      <c r="S588" s="137"/>
      <c r="T588" s="137"/>
      <c r="U588" s="137"/>
      <c r="V588" s="137"/>
      <c r="W588" s="137"/>
    </row>
    <row r="589" spans="1:23" x14ac:dyDescent="0.2">
      <c r="A589" s="137"/>
      <c r="B589" s="137"/>
      <c r="C589" s="137"/>
      <c r="D589" s="137"/>
      <c r="E589" s="137"/>
      <c r="F589" s="137"/>
      <c r="G589" s="137"/>
      <c r="H589" s="137"/>
      <c r="I589" s="137"/>
      <c r="J589" s="137"/>
      <c r="K589" s="137"/>
      <c r="L589" s="137"/>
      <c r="M589" s="137"/>
      <c r="N589" s="137"/>
      <c r="O589" s="137"/>
      <c r="P589" s="137"/>
      <c r="Q589" s="137"/>
      <c r="R589" s="137"/>
      <c r="S589" s="137"/>
      <c r="T589" s="137"/>
      <c r="U589" s="137"/>
      <c r="V589" s="137"/>
      <c r="W589" s="137"/>
    </row>
    <row r="590" spans="1:23" x14ac:dyDescent="0.2">
      <c r="A590" s="137"/>
      <c r="B590" s="137"/>
      <c r="C590" s="137"/>
      <c r="D590" s="137"/>
      <c r="E590" s="137"/>
      <c r="F590" s="137"/>
      <c r="G590" s="137"/>
      <c r="H590" s="137"/>
      <c r="I590" s="137"/>
      <c r="J590" s="137"/>
      <c r="K590" s="137"/>
      <c r="L590" s="137"/>
      <c r="M590" s="137"/>
      <c r="N590" s="137"/>
      <c r="O590" s="137"/>
      <c r="P590" s="137"/>
      <c r="Q590" s="137"/>
      <c r="R590" s="137"/>
      <c r="S590" s="137"/>
      <c r="T590" s="137"/>
      <c r="U590" s="137"/>
      <c r="V590" s="137"/>
      <c r="W590" s="137"/>
    </row>
    <row r="591" spans="1:23" x14ac:dyDescent="0.2">
      <c r="A591" s="137"/>
      <c r="B591" s="137"/>
      <c r="C591" s="137"/>
      <c r="D591" s="137"/>
      <c r="E591" s="137"/>
      <c r="F591" s="137"/>
      <c r="G591" s="137"/>
      <c r="H591" s="137"/>
      <c r="I591" s="137"/>
      <c r="J591" s="137"/>
      <c r="K591" s="137"/>
      <c r="L591" s="137"/>
      <c r="M591" s="137"/>
      <c r="N591" s="137"/>
      <c r="O591" s="137"/>
      <c r="P591" s="137"/>
      <c r="Q591" s="137"/>
      <c r="R591" s="137"/>
      <c r="S591" s="137"/>
      <c r="T591" s="137"/>
      <c r="U591" s="137"/>
      <c r="V591" s="137"/>
      <c r="W591" s="137"/>
    </row>
    <row r="592" spans="1:23" x14ac:dyDescent="0.2">
      <c r="A592" s="137"/>
      <c r="B592" s="137"/>
      <c r="C592" s="137"/>
      <c r="D592" s="137"/>
      <c r="E592" s="137"/>
      <c r="F592" s="137"/>
      <c r="G592" s="137"/>
      <c r="H592" s="137"/>
      <c r="I592" s="137"/>
      <c r="J592" s="137"/>
      <c r="K592" s="137"/>
      <c r="L592" s="137"/>
      <c r="M592" s="137"/>
      <c r="N592" s="137"/>
      <c r="O592" s="137"/>
      <c r="P592" s="137"/>
      <c r="Q592" s="137"/>
      <c r="R592" s="137"/>
      <c r="S592" s="137"/>
      <c r="T592" s="137"/>
      <c r="U592" s="137"/>
      <c r="V592" s="137"/>
      <c r="W592" s="137"/>
    </row>
    <row r="593" spans="1:23" x14ac:dyDescent="0.2">
      <c r="A593" s="137"/>
      <c r="B593" s="137"/>
      <c r="C593" s="137"/>
      <c r="D593" s="137"/>
      <c r="E593" s="137"/>
      <c r="F593" s="137"/>
      <c r="G593" s="137"/>
      <c r="H593" s="137"/>
      <c r="I593" s="137"/>
      <c r="J593" s="137"/>
      <c r="K593" s="137"/>
      <c r="L593" s="137"/>
      <c r="M593" s="137"/>
      <c r="N593" s="137"/>
      <c r="O593" s="137"/>
      <c r="P593" s="137"/>
      <c r="Q593" s="137"/>
      <c r="R593" s="137"/>
      <c r="S593" s="137"/>
      <c r="T593" s="137"/>
      <c r="U593" s="137"/>
      <c r="V593" s="137"/>
      <c r="W593" s="137"/>
    </row>
    <row r="594" spans="1:23" x14ac:dyDescent="0.2">
      <c r="A594" s="137"/>
      <c r="B594" s="137"/>
      <c r="C594" s="137"/>
      <c r="D594" s="137"/>
      <c r="E594" s="137"/>
      <c r="F594" s="137"/>
      <c r="G594" s="137"/>
      <c r="H594" s="137"/>
      <c r="I594" s="137"/>
      <c r="J594" s="137"/>
      <c r="K594" s="137"/>
      <c r="L594" s="137"/>
      <c r="M594" s="137"/>
      <c r="N594" s="137"/>
      <c r="O594" s="137"/>
      <c r="P594" s="137"/>
      <c r="Q594" s="137"/>
      <c r="R594" s="137"/>
      <c r="S594" s="137"/>
      <c r="T594" s="137"/>
      <c r="U594" s="137"/>
      <c r="V594" s="137"/>
      <c r="W594" s="137"/>
    </row>
    <row r="595" spans="1:23" x14ac:dyDescent="0.2">
      <c r="A595" s="137"/>
      <c r="B595" s="137"/>
      <c r="C595" s="137"/>
      <c r="D595" s="137"/>
      <c r="E595" s="137"/>
      <c r="F595" s="137"/>
      <c r="G595" s="137"/>
      <c r="H595" s="137"/>
      <c r="I595" s="137"/>
      <c r="J595" s="137"/>
      <c r="K595" s="137"/>
      <c r="L595" s="137"/>
      <c r="M595" s="137"/>
      <c r="N595" s="137"/>
      <c r="O595" s="137"/>
      <c r="P595" s="137"/>
      <c r="Q595" s="137"/>
      <c r="R595" s="137"/>
      <c r="S595" s="137"/>
      <c r="T595" s="137"/>
      <c r="U595" s="137"/>
      <c r="V595" s="137"/>
      <c r="W595" s="137"/>
    </row>
    <row r="596" spans="1:23" x14ac:dyDescent="0.2">
      <c r="A596" s="137"/>
      <c r="B596" s="137"/>
      <c r="C596" s="137"/>
      <c r="D596" s="137"/>
      <c r="E596" s="137"/>
      <c r="F596" s="137"/>
      <c r="G596" s="137"/>
      <c r="H596" s="137"/>
      <c r="I596" s="137"/>
      <c r="J596" s="137"/>
      <c r="K596" s="137"/>
      <c r="L596" s="137"/>
      <c r="M596" s="137"/>
      <c r="N596" s="137"/>
      <c r="O596" s="137"/>
      <c r="P596" s="137"/>
      <c r="Q596" s="137"/>
      <c r="R596" s="137"/>
      <c r="S596" s="137"/>
      <c r="T596" s="137"/>
      <c r="U596" s="137"/>
      <c r="V596" s="137"/>
      <c r="W596" s="137"/>
    </row>
    <row r="597" spans="1:23" x14ac:dyDescent="0.2">
      <c r="A597" s="137"/>
      <c r="B597" s="137"/>
      <c r="C597" s="137"/>
      <c r="D597" s="137"/>
      <c r="E597" s="137"/>
      <c r="F597" s="137"/>
      <c r="G597" s="137"/>
      <c r="H597" s="137"/>
      <c r="I597" s="137"/>
      <c r="J597" s="137"/>
      <c r="K597" s="137"/>
      <c r="L597" s="137"/>
      <c r="M597" s="137"/>
      <c r="N597" s="137"/>
      <c r="O597" s="137"/>
      <c r="P597" s="137"/>
      <c r="Q597" s="137"/>
      <c r="R597" s="137"/>
      <c r="S597" s="137"/>
      <c r="T597" s="137"/>
      <c r="U597" s="137"/>
      <c r="V597" s="137"/>
      <c r="W597" s="137"/>
    </row>
    <row r="598" spans="1:23" x14ac:dyDescent="0.2">
      <c r="A598" s="137"/>
      <c r="B598" s="137"/>
      <c r="C598" s="137"/>
      <c r="D598" s="137"/>
      <c r="E598" s="137"/>
      <c r="F598" s="137"/>
      <c r="G598" s="137"/>
      <c r="H598" s="137"/>
      <c r="I598" s="137"/>
      <c r="J598" s="137"/>
      <c r="K598" s="137"/>
      <c r="L598" s="137"/>
      <c r="M598" s="137"/>
      <c r="N598" s="137"/>
      <c r="O598" s="137"/>
      <c r="P598" s="137"/>
      <c r="Q598" s="137"/>
      <c r="R598" s="137"/>
      <c r="S598" s="137"/>
      <c r="T598" s="137"/>
      <c r="U598" s="137"/>
      <c r="V598" s="137"/>
      <c r="W598" s="137"/>
    </row>
    <row r="599" spans="1:23" x14ac:dyDescent="0.2">
      <c r="A599" s="137"/>
      <c r="B599" s="137"/>
      <c r="C599" s="137"/>
      <c r="D599" s="137"/>
      <c r="E599" s="137"/>
      <c r="F599" s="137"/>
      <c r="G599" s="137"/>
      <c r="H599" s="137"/>
      <c r="I599" s="137"/>
      <c r="J599" s="137"/>
      <c r="K599" s="137"/>
      <c r="L599" s="137"/>
      <c r="M599" s="137"/>
      <c r="N599" s="137"/>
      <c r="O599" s="137"/>
      <c r="P599" s="137"/>
      <c r="Q599" s="137"/>
      <c r="R599" s="137"/>
      <c r="S599" s="137"/>
      <c r="T599" s="137"/>
      <c r="U599" s="137"/>
      <c r="V599" s="137"/>
      <c r="W599" s="137"/>
    </row>
    <row r="600" spans="1:23" x14ac:dyDescent="0.2">
      <c r="A600" s="137"/>
      <c r="B600" s="137"/>
      <c r="C600" s="137"/>
      <c r="D600" s="137"/>
      <c r="E600" s="137"/>
      <c r="F600" s="137"/>
      <c r="G600" s="137"/>
      <c r="H600" s="137"/>
      <c r="I600" s="137"/>
      <c r="J600" s="137"/>
      <c r="K600" s="137"/>
      <c r="L600" s="137"/>
      <c r="M600" s="137"/>
      <c r="N600" s="137"/>
      <c r="O600" s="137"/>
      <c r="P600" s="137"/>
      <c r="Q600" s="137"/>
      <c r="R600" s="137"/>
      <c r="S600" s="137"/>
      <c r="T600" s="137"/>
      <c r="U600" s="137"/>
      <c r="V600" s="137"/>
      <c r="W600" s="137"/>
    </row>
    <row r="601" spans="1:23" x14ac:dyDescent="0.2">
      <c r="A601" s="137"/>
      <c r="B601" s="137"/>
      <c r="C601" s="137"/>
      <c r="D601" s="137"/>
      <c r="E601" s="137"/>
      <c r="F601" s="137"/>
      <c r="G601" s="137"/>
      <c r="H601" s="137"/>
      <c r="I601" s="137"/>
      <c r="J601" s="137"/>
      <c r="K601" s="137"/>
      <c r="L601" s="137"/>
      <c r="M601" s="137"/>
      <c r="N601" s="137"/>
      <c r="O601" s="137"/>
      <c r="P601" s="137"/>
      <c r="Q601" s="137"/>
      <c r="R601" s="137"/>
      <c r="S601" s="137"/>
      <c r="T601" s="137"/>
      <c r="U601" s="137"/>
      <c r="V601" s="137"/>
      <c r="W601" s="137"/>
    </row>
    <row r="602" spans="1:23" x14ac:dyDescent="0.2">
      <c r="A602" s="137"/>
      <c r="B602" s="137"/>
      <c r="C602" s="137"/>
      <c r="D602" s="137"/>
      <c r="E602" s="137"/>
      <c r="F602" s="137"/>
      <c r="G602" s="137"/>
      <c r="H602" s="137"/>
      <c r="I602" s="137"/>
      <c r="J602" s="137"/>
      <c r="K602" s="137"/>
      <c r="L602" s="137"/>
      <c r="M602" s="137"/>
      <c r="N602" s="137"/>
      <c r="O602" s="137"/>
      <c r="P602" s="137"/>
      <c r="Q602" s="137"/>
      <c r="R602" s="137"/>
      <c r="S602" s="137"/>
      <c r="T602" s="137"/>
      <c r="U602" s="137"/>
      <c r="V602" s="137"/>
      <c r="W602" s="137"/>
    </row>
    <row r="603" spans="1:23" x14ac:dyDescent="0.2">
      <c r="A603" s="137"/>
      <c r="B603" s="137"/>
      <c r="C603" s="137"/>
      <c r="D603" s="137"/>
      <c r="E603" s="137"/>
      <c r="F603" s="137"/>
      <c r="G603" s="137"/>
      <c r="H603" s="137"/>
      <c r="I603" s="137"/>
      <c r="J603" s="137"/>
      <c r="K603" s="137"/>
      <c r="L603" s="137"/>
      <c r="M603" s="137"/>
      <c r="N603" s="137"/>
      <c r="O603" s="137"/>
      <c r="P603" s="137"/>
      <c r="Q603" s="137"/>
      <c r="R603" s="137"/>
      <c r="S603" s="137"/>
      <c r="T603" s="137"/>
      <c r="U603" s="137"/>
      <c r="V603" s="137"/>
      <c r="W603" s="137"/>
    </row>
    <row r="604" spans="1:23" x14ac:dyDescent="0.2">
      <c r="A604" s="137"/>
      <c r="B604" s="137"/>
      <c r="C604" s="137"/>
      <c r="D604" s="137"/>
      <c r="E604" s="137"/>
      <c r="F604" s="137"/>
      <c r="G604" s="137"/>
      <c r="H604" s="137"/>
      <c r="I604" s="137"/>
      <c r="J604" s="137"/>
      <c r="K604" s="137"/>
      <c r="L604" s="137"/>
      <c r="M604" s="137"/>
      <c r="N604" s="137"/>
      <c r="O604" s="137"/>
      <c r="P604" s="137"/>
      <c r="Q604" s="137"/>
      <c r="R604" s="137"/>
      <c r="S604" s="137"/>
      <c r="T604" s="137"/>
      <c r="U604" s="137"/>
      <c r="V604" s="137"/>
      <c r="W604" s="137"/>
    </row>
    <row r="605" spans="1:23" x14ac:dyDescent="0.2">
      <c r="A605" s="137"/>
      <c r="B605" s="137"/>
      <c r="C605" s="137"/>
      <c r="D605" s="137"/>
      <c r="E605" s="137"/>
      <c r="F605" s="137"/>
      <c r="G605" s="137"/>
      <c r="H605" s="137"/>
      <c r="I605" s="137"/>
      <c r="J605" s="137"/>
      <c r="K605" s="137"/>
      <c r="L605" s="137"/>
      <c r="M605" s="137"/>
      <c r="N605" s="137"/>
      <c r="O605" s="137"/>
      <c r="P605" s="137"/>
      <c r="Q605" s="137"/>
      <c r="R605" s="137"/>
      <c r="S605" s="137"/>
      <c r="T605" s="137"/>
      <c r="U605" s="137"/>
      <c r="V605" s="137"/>
      <c r="W605" s="137"/>
    </row>
    <row r="606" spans="1:23" x14ac:dyDescent="0.2">
      <c r="A606" s="137"/>
      <c r="B606" s="137"/>
      <c r="C606" s="137"/>
      <c r="D606" s="137"/>
      <c r="E606" s="137"/>
      <c r="F606" s="137"/>
      <c r="G606" s="137"/>
      <c r="H606" s="137"/>
      <c r="I606" s="137"/>
      <c r="J606" s="137"/>
      <c r="K606" s="137"/>
      <c r="L606" s="137"/>
      <c r="M606" s="137"/>
      <c r="N606" s="137"/>
      <c r="O606" s="137"/>
      <c r="P606" s="137"/>
      <c r="Q606" s="137"/>
      <c r="R606" s="137"/>
      <c r="S606" s="137"/>
      <c r="T606" s="137"/>
      <c r="U606" s="137"/>
      <c r="V606" s="137"/>
      <c r="W606" s="137"/>
    </row>
    <row r="607" spans="1:23" x14ac:dyDescent="0.2">
      <c r="A607" s="137"/>
      <c r="B607" s="137"/>
      <c r="C607" s="137"/>
      <c r="D607" s="137"/>
      <c r="E607" s="137"/>
      <c r="F607" s="137"/>
      <c r="G607" s="137"/>
      <c r="H607" s="137"/>
      <c r="I607" s="137"/>
      <c r="J607" s="137"/>
      <c r="K607" s="137"/>
      <c r="L607" s="137"/>
      <c r="M607" s="137"/>
      <c r="N607" s="137"/>
      <c r="O607" s="137"/>
      <c r="P607" s="137"/>
      <c r="Q607" s="137"/>
      <c r="R607" s="137"/>
      <c r="S607" s="137"/>
      <c r="T607" s="137"/>
      <c r="U607" s="137"/>
      <c r="V607" s="137"/>
      <c r="W607" s="137"/>
    </row>
    <row r="608" spans="1:23" x14ac:dyDescent="0.2">
      <c r="A608" s="137"/>
      <c r="B608" s="137"/>
      <c r="C608" s="137"/>
      <c r="D608" s="137"/>
      <c r="E608" s="137"/>
      <c r="F608" s="137"/>
      <c r="G608" s="137"/>
      <c r="H608" s="137"/>
      <c r="I608" s="137"/>
      <c r="J608" s="137"/>
      <c r="K608" s="137"/>
      <c r="L608" s="137"/>
      <c r="M608" s="137"/>
      <c r="N608" s="137"/>
      <c r="O608" s="137"/>
      <c r="P608" s="137"/>
      <c r="Q608" s="137"/>
      <c r="R608" s="137"/>
      <c r="S608" s="137"/>
      <c r="T608" s="137"/>
      <c r="U608" s="137"/>
      <c r="V608" s="137"/>
      <c r="W608" s="137"/>
    </row>
    <row r="609" spans="1:23" x14ac:dyDescent="0.2">
      <c r="A609" s="137"/>
      <c r="B609" s="137"/>
      <c r="C609" s="137"/>
      <c r="D609" s="137"/>
      <c r="E609" s="137"/>
      <c r="F609" s="137"/>
      <c r="G609" s="137"/>
      <c r="H609" s="137"/>
      <c r="I609" s="137"/>
      <c r="J609" s="137"/>
      <c r="K609" s="137"/>
      <c r="L609" s="137"/>
      <c r="M609" s="137"/>
      <c r="N609" s="137"/>
      <c r="O609" s="137"/>
      <c r="P609" s="137"/>
      <c r="Q609" s="137"/>
      <c r="R609" s="137"/>
      <c r="S609" s="137"/>
      <c r="T609" s="137"/>
      <c r="U609" s="137"/>
      <c r="V609" s="137"/>
      <c r="W609" s="137"/>
    </row>
    <row r="610" spans="1:23" x14ac:dyDescent="0.2">
      <c r="A610" s="137"/>
      <c r="B610" s="137"/>
      <c r="C610" s="137"/>
      <c r="D610" s="137"/>
      <c r="E610" s="137"/>
      <c r="F610" s="137"/>
      <c r="G610" s="137"/>
      <c r="H610" s="137"/>
      <c r="I610" s="137"/>
      <c r="J610" s="137"/>
      <c r="K610" s="137"/>
      <c r="L610" s="137"/>
      <c r="M610" s="137"/>
      <c r="N610" s="137"/>
      <c r="O610" s="137"/>
      <c r="P610" s="137"/>
      <c r="Q610" s="137"/>
      <c r="R610" s="137"/>
      <c r="S610" s="137"/>
      <c r="T610" s="137"/>
      <c r="U610" s="137"/>
      <c r="V610" s="137"/>
      <c r="W610" s="137"/>
    </row>
    <row r="611" spans="1:23" x14ac:dyDescent="0.2">
      <c r="A611" s="137"/>
      <c r="B611" s="137"/>
      <c r="C611" s="137"/>
      <c r="D611" s="137"/>
      <c r="E611" s="137"/>
      <c r="F611" s="137"/>
      <c r="G611" s="137"/>
      <c r="H611" s="137"/>
      <c r="I611" s="137"/>
      <c r="J611" s="137"/>
      <c r="K611" s="137"/>
      <c r="L611" s="137"/>
      <c r="M611" s="137"/>
      <c r="N611" s="137"/>
      <c r="O611" s="137"/>
      <c r="P611" s="137"/>
      <c r="Q611" s="137"/>
      <c r="R611" s="137"/>
      <c r="S611" s="137"/>
      <c r="T611" s="137"/>
      <c r="U611" s="137"/>
      <c r="V611" s="137"/>
      <c r="W611" s="137"/>
    </row>
    <row r="612" spans="1:23" x14ac:dyDescent="0.2">
      <c r="A612" s="137"/>
      <c r="B612" s="137"/>
      <c r="C612" s="137"/>
      <c r="D612" s="137"/>
      <c r="E612" s="137"/>
      <c r="F612" s="137"/>
      <c r="G612" s="137"/>
      <c r="H612" s="137"/>
      <c r="I612" s="137"/>
      <c r="J612" s="137"/>
      <c r="K612" s="137"/>
      <c r="L612" s="137"/>
      <c r="M612" s="137"/>
      <c r="N612" s="137"/>
      <c r="O612" s="137"/>
      <c r="P612" s="137"/>
      <c r="Q612" s="137"/>
      <c r="R612" s="137"/>
      <c r="S612" s="137"/>
      <c r="T612" s="137"/>
      <c r="U612" s="137"/>
      <c r="V612" s="137"/>
      <c r="W612" s="137"/>
    </row>
    <row r="613" spans="1:23" x14ac:dyDescent="0.2">
      <c r="A613" s="137"/>
      <c r="B613" s="137"/>
      <c r="C613" s="137"/>
      <c r="D613" s="137"/>
      <c r="E613" s="137"/>
      <c r="F613" s="137"/>
      <c r="G613" s="137"/>
      <c r="H613" s="137"/>
      <c r="I613" s="137"/>
      <c r="J613" s="137"/>
      <c r="K613" s="137"/>
      <c r="L613" s="137"/>
      <c r="M613" s="137"/>
      <c r="N613" s="137"/>
      <c r="O613" s="137"/>
      <c r="P613" s="137"/>
      <c r="Q613" s="137"/>
      <c r="R613" s="137"/>
      <c r="S613" s="137"/>
      <c r="T613" s="137"/>
      <c r="U613" s="137"/>
      <c r="V613" s="137"/>
      <c r="W613" s="137"/>
    </row>
    <row r="614" spans="1:23" x14ac:dyDescent="0.2">
      <c r="A614" s="137"/>
      <c r="B614" s="137"/>
      <c r="C614" s="137"/>
      <c r="D614" s="137"/>
      <c r="E614" s="137"/>
      <c r="F614" s="137"/>
      <c r="G614" s="137"/>
      <c r="H614" s="137"/>
      <c r="I614" s="137"/>
      <c r="J614" s="137"/>
      <c r="K614" s="137"/>
      <c r="L614" s="137"/>
      <c r="M614" s="137"/>
      <c r="N614" s="137"/>
      <c r="O614" s="137"/>
      <c r="P614" s="137"/>
      <c r="Q614" s="137"/>
      <c r="R614" s="137"/>
      <c r="S614" s="137"/>
      <c r="T614" s="137"/>
      <c r="U614" s="137"/>
      <c r="V614" s="137"/>
      <c r="W614" s="137"/>
    </row>
    <row r="615" spans="1:23" x14ac:dyDescent="0.2">
      <c r="A615" s="137"/>
      <c r="B615" s="137"/>
      <c r="C615" s="137"/>
      <c r="D615" s="137"/>
      <c r="E615" s="137"/>
      <c r="F615" s="137"/>
      <c r="G615" s="137"/>
      <c r="H615" s="137"/>
      <c r="I615" s="137"/>
      <c r="J615" s="137"/>
      <c r="K615" s="137"/>
      <c r="L615" s="137"/>
      <c r="M615" s="137"/>
      <c r="N615" s="137"/>
      <c r="O615" s="137"/>
      <c r="P615" s="137"/>
      <c r="Q615" s="137"/>
      <c r="R615" s="137"/>
      <c r="S615" s="137"/>
      <c r="T615" s="137"/>
      <c r="U615" s="137"/>
      <c r="V615" s="137"/>
      <c r="W615" s="137"/>
    </row>
    <row r="616" spans="1:23" x14ac:dyDescent="0.2">
      <c r="A616" s="137"/>
      <c r="B616" s="137"/>
      <c r="C616" s="137"/>
      <c r="D616" s="137"/>
      <c r="E616" s="137"/>
      <c r="F616" s="137"/>
      <c r="G616" s="137"/>
      <c r="H616" s="137"/>
      <c r="I616" s="137"/>
      <c r="J616" s="137"/>
      <c r="K616" s="137"/>
      <c r="L616" s="137"/>
      <c r="M616" s="137"/>
      <c r="N616" s="137"/>
      <c r="O616" s="137"/>
      <c r="P616" s="137"/>
      <c r="Q616" s="137"/>
      <c r="R616" s="137"/>
      <c r="S616" s="137"/>
      <c r="T616" s="137"/>
      <c r="U616" s="137"/>
      <c r="V616" s="137"/>
      <c r="W616" s="137"/>
    </row>
    <row r="617" spans="1:23" x14ac:dyDescent="0.2">
      <c r="A617" s="137"/>
      <c r="B617" s="137"/>
      <c r="C617" s="137"/>
      <c r="D617" s="137"/>
      <c r="E617" s="137"/>
      <c r="F617" s="137"/>
      <c r="G617" s="137"/>
      <c r="H617" s="137"/>
      <c r="I617" s="137"/>
      <c r="J617" s="137"/>
      <c r="K617" s="137"/>
      <c r="L617" s="137"/>
      <c r="M617" s="137"/>
      <c r="N617" s="137"/>
      <c r="O617" s="137"/>
      <c r="P617" s="137"/>
      <c r="Q617" s="137"/>
      <c r="R617" s="137"/>
      <c r="S617" s="137"/>
      <c r="T617" s="137"/>
      <c r="U617" s="137"/>
      <c r="V617" s="137"/>
      <c r="W617" s="137"/>
    </row>
    <row r="618" spans="1:23" x14ac:dyDescent="0.2">
      <c r="A618" s="137"/>
      <c r="B618" s="137"/>
      <c r="C618" s="137"/>
      <c r="D618" s="137"/>
      <c r="E618" s="137"/>
      <c r="F618" s="137"/>
      <c r="G618" s="137"/>
      <c r="H618" s="137"/>
      <c r="I618" s="137"/>
      <c r="J618" s="137"/>
      <c r="K618" s="137"/>
      <c r="L618" s="137"/>
      <c r="M618" s="137"/>
      <c r="N618" s="137"/>
      <c r="O618" s="137"/>
      <c r="P618" s="137"/>
      <c r="Q618" s="137"/>
      <c r="R618" s="137"/>
      <c r="S618" s="137"/>
      <c r="T618" s="137"/>
      <c r="U618" s="137"/>
      <c r="V618" s="137"/>
      <c r="W618" s="137"/>
    </row>
    <row r="619" spans="1:23" x14ac:dyDescent="0.2">
      <c r="A619" s="137"/>
      <c r="B619" s="137"/>
      <c r="C619" s="137"/>
      <c r="D619" s="137"/>
      <c r="E619" s="137"/>
      <c r="F619" s="137"/>
      <c r="G619" s="137"/>
      <c r="H619" s="137"/>
      <c r="I619" s="137"/>
      <c r="J619" s="137"/>
      <c r="K619" s="137"/>
      <c r="L619" s="137"/>
      <c r="M619" s="137"/>
      <c r="N619" s="137"/>
      <c r="O619" s="137"/>
      <c r="P619" s="137"/>
      <c r="Q619" s="137"/>
      <c r="R619" s="137"/>
      <c r="S619" s="137"/>
      <c r="T619" s="137"/>
      <c r="U619" s="137"/>
      <c r="V619" s="137"/>
      <c r="W619" s="137"/>
    </row>
    <row r="620" spans="1:23" x14ac:dyDescent="0.2">
      <c r="A620" s="137"/>
      <c r="B620" s="137"/>
      <c r="C620" s="137"/>
      <c r="D620" s="137"/>
      <c r="E620" s="137"/>
      <c r="F620" s="137"/>
      <c r="G620" s="137"/>
      <c r="H620" s="137"/>
      <c r="I620" s="137"/>
      <c r="J620" s="137"/>
      <c r="K620" s="137"/>
      <c r="L620" s="137"/>
      <c r="M620" s="137"/>
      <c r="N620" s="137"/>
      <c r="O620" s="137"/>
      <c r="P620" s="137"/>
      <c r="Q620" s="137"/>
      <c r="R620" s="137"/>
      <c r="S620" s="137"/>
      <c r="T620" s="137"/>
      <c r="U620" s="137"/>
      <c r="V620" s="137"/>
      <c r="W620" s="137"/>
    </row>
    <row r="621" spans="1:23" x14ac:dyDescent="0.2">
      <c r="A621" s="137"/>
      <c r="B621" s="137"/>
      <c r="C621" s="137"/>
      <c r="D621" s="137"/>
      <c r="E621" s="137"/>
      <c r="F621" s="137"/>
      <c r="G621" s="137"/>
      <c r="H621" s="137"/>
      <c r="I621" s="137"/>
      <c r="J621" s="137"/>
      <c r="K621" s="137"/>
      <c r="L621" s="137"/>
      <c r="M621" s="137"/>
      <c r="N621" s="137"/>
      <c r="O621" s="137"/>
      <c r="P621" s="137"/>
      <c r="Q621" s="137"/>
      <c r="R621" s="137"/>
      <c r="S621" s="137"/>
      <c r="T621" s="137"/>
      <c r="U621" s="137"/>
      <c r="V621" s="137"/>
      <c r="W621" s="137"/>
    </row>
    <row r="622" spans="1:23" x14ac:dyDescent="0.2">
      <c r="A622" s="137"/>
      <c r="B622" s="137"/>
      <c r="C622" s="137"/>
      <c r="D622" s="137"/>
      <c r="E622" s="137"/>
      <c r="F622" s="137"/>
      <c r="G622" s="137"/>
      <c r="H622" s="137"/>
      <c r="I622" s="137"/>
      <c r="J622" s="137"/>
      <c r="K622" s="137"/>
      <c r="L622" s="137"/>
      <c r="M622" s="137"/>
      <c r="N622" s="137"/>
      <c r="O622" s="137"/>
      <c r="P622" s="137"/>
      <c r="Q622" s="137"/>
      <c r="R622" s="137"/>
      <c r="S622" s="137"/>
      <c r="T622" s="137"/>
      <c r="U622" s="137"/>
      <c r="V622" s="137"/>
      <c r="W622" s="137"/>
    </row>
    <row r="623" spans="1:23" x14ac:dyDescent="0.2">
      <c r="A623" s="137"/>
      <c r="B623" s="137"/>
      <c r="C623" s="137"/>
      <c r="D623" s="137"/>
      <c r="E623" s="137"/>
      <c r="F623" s="137"/>
      <c r="G623" s="137"/>
      <c r="H623" s="137"/>
      <c r="I623" s="137"/>
      <c r="J623" s="137"/>
      <c r="K623" s="137"/>
      <c r="L623" s="137"/>
      <c r="M623" s="137"/>
      <c r="N623" s="137"/>
      <c r="O623" s="137"/>
      <c r="P623" s="137"/>
      <c r="Q623" s="137"/>
      <c r="R623" s="137"/>
      <c r="S623" s="137"/>
      <c r="T623" s="137"/>
      <c r="U623" s="137"/>
      <c r="V623" s="137"/>
      <c r="W623" s="137"/>
    </row>
    <row r="624" spans="1:23" x14ac:dyDescent="0.2">
      <c r="A624" s="137"/>
      <c r="B624" s="137"/>
      <c r="C624" s="137"/>
      <c r="D624" s="137"/>
      <c r="E624" s="137"/>
      <c r="F624" s="137"/>
      <c r="G624" s="137"/>
      <c r="H624" s="137"/>
      <c r="I624" s="137"/>
      <c r="J624" s="137"/>
      <c r="K624" s="137"/>
      <c r="L624" s="137"/>
      <c r="M624" s="137"/>
      <c r="N624" s="137"/>
      <c r="O624" s="137"/>
      <c r="P624" s="137"/>
      <c r="Q624" s="137"/>
      <c r="R624" s="137"/>
      <c r="S624" s="137"/>
      <c r="T624" s="137"/>
      <c r="U624" s="137"/>
      <c r="V624" s="137"/>
      <c r="W624" s="137"/>
    </row>
    <row r="625" spans="1:23" x14ac:dyDescent="0.2">
      <c r="A625" s="137"/>
      <c r="B625" s="137"/>
      <c r="C625" s="137"/>
      <c r="D625" s="137"/>
      <c r="E625" s="137"/>
      <c r="F625" s="137"/>
      <c r="G625" s="137"/>
      <c r="H625" s="137"/>
      <c r="I625" s="137"/>
      <c r="J625" s="137"/>
      <c r="K625" s="137"/>
      <c r="L625" s="137"/>
      <c r="M625" s="137"/>
      <c r="N625" s="137"/>
      <c r="O625" s="137"/>
      <c r="P625" s="137"/>
      <c r="Q625" s="137"/>
      <c r="R625" s="137"/>
      <c r="S625" s="137"/>
      <c r="T625" s="137"/>
      <c r="U625" s="137"/>
      <c r="V625" s="137"/>
      <c r="W625" s="137"/>
    </row>
    <row r="626" spans="1:23" x14ac:dyDescent="0.2">
      <c r="A626" s="137"/>
      <c r="B626" s="137"/>
      <c r="C626" s="137"/>
      <c r="D626" s="137"/>
      <c r="E626" s="137"/>
      <c r="F626" s="137"/>
      <c r="G626" s="137"/>
      <c r="H626" s="137"/>
      <c r="I626" s="137"/>
      <c r="J626" s="137"/>
      <c r="K626" s="137"/>
      <c r="L626" s="137"/>
      <c r="M626" s="137"/>
      <c r="N626" s="137"/>
      <c r="O626" s="137"/>
      <c r="P626" s="137"/>
      <c r="Q626" s="137"/>
      <c r="R626" s="137"/>
      <c r="S626" s="137"/>
      <c r="T626" s="137"/>
      <c r="U626" s="137"/>
      <c r="V626" s="137"/>
      <c r="W626" s="137"/>
    </row>
    <row r="627" spans="1:23" x14ac:dyDescent="0.2">
      <c r="A627" s="137"/>
      <c r="B627" s="137"/>
      <c r="C627" s="137"/>
      <c r="D627" s="137"/>
      <c r="E627" s="137"/>
      <c r="F627" s="137"/>
      <c r="G627" s="137"/>
      <c r="H627" s="137"/>
      <c r="I627" s="137"/>
      <c r="J627" s="137"/>
      <c r="K627" s="137"/>
      <c r="L627" s="137"/>
      <c r="M627" s="137"/>
      <c r="N627" s="137"/>
      <c r="O627" s="137"/>
      <c r="P627" s="137"/>
      <c r="Q627" s="137"/>
      <c r="R627" s="137"/>
      <c r="S627" s="137"/>
      <c r="T627" s="137"/>
      <c r="U627" s="137"/>
      <c r="V627" s="137"/>
      <c r="W627" s="137"/>
    </row>
    <row r="628" spans="1:23" x14ac:dyDescent="0.2">
      <c r="A628" s="137"/>
      <c r="B628" s="137"/>
      <c r="C628" s="137"/>
      <c r="D628" s="137"/>
      <c r="E628" s="137"/>
      <c r="F628" s="137"/>
      <c r="G628" s="137"/>
      <c r="H628" s="137"/>
      <c r="I628" s="137"/>
      <c r="J628" s="137"/>
      <c r="K628" s="137"/>
      <c r="L628" s="137"/>
      <c r="M628" s="137"/>
      <c r="N628" s="137"/>
      <c r="O628" s="137"/>
      <c r="P628" s="137"/>
      <c r="Q628" s="137"/>
      <c r="R628" s="137"/>
      <c r="S628" s="137"/>
      <c r="T628" s="137"/>
      <c r="U628" s="137"/>
      <c r="V628" s="137"/>
      <c r="W628" s="137"/>
    </row>
    <row r="629" spans="1:23" x14ac:dyDescent="0.2">
      <c r="A629" s="137"/>
      <c r="B629" s="137"/>
      <c r="C629" s="137"/>
      <c r="D629" s="137"/>
      <c r="E629" s="137"/>
      <c r="F629" s="137"/>
      <c r="G629" s="137"/>
      <c r="H629" s="137"/>
      <c r="I629" s="137"/>
      <c r="J629" s="137"/>
      <c r="K629" s="137"/>
      <c r="L629" s="137"/>
      <c r="M629" s="137"/>
      <c r="N629" s="137"/>
      <c r="O629" s="137"/>
      <c r="P629" s="137"/>
      <c r="Q629" s="137"/>
      <c r="R629" s="137"/>
      <c r="S629" s="137"/>
      <c r="T629" s="137"/>
      <c r="U629" s="137"/>
      <c r="V629" s="137"/>
      <c r="W629" s="137"/>
    </row>
    <row r="630" spans="1:23" x14ac:dyDescent="0.2">
      <c r="A630" s="137"/>
      <c r="B630" s="137"/>
      <c r="C630" s="137"/>
      <c r="D630" s="137"/>
      <c r="E630" s="137"/>
      <c r="F630" s="137"/>
      <c r="G630" s="137"/>
      <c r="H630" s="137"/>
      <c r="I630" s="137"/>
      <c r="J630" s="137"/>
      <c r="K630" s="137"/>
      <c r="L630" s="137"/>
      <c r="M630" s="137"/>
      <c r="N630" s="137"/>
      <c r="O630" s="137"/>
      <c r="P630" s="137"/>
      <c r="Q630" s="137"/>
      <c r="R630" s="137"/>
      <c r="S630" s="137"/>
      <c r="T630" s="137"/>
      <c r="U630" s="137"/>
      <c r="V630" s="137"/>
      <c r="W630" s="137"/>
    </row>
    <row r="631" spans="1:23" x14ac:dyDescent="0.2">
      <c r="A631" s="137"/>
      <c r="B631" s="137"/>
      <c r="C631" s="137"/>
      <c r="D631" s="137"/>
      <c r="E631" s="137"/>
      <c r="F631" s="137"/>
      <c r="G631" s="137"/>
      <c r="H631" s="137"/>
      <c r="I631" s="137"/>
      <c r="J631" s="137"/>
      <c r="K631" s="137"/>
      <c r="L631" s="137"/>
      <c r="M631" s="137"/>
      <c r="N631" s="137"/>
      <c r="O631" s="137"/>
      <c r="P631" s="137"/>
      <c r="Q631" s="137"/>
      <c r="R631" s="137"/>
      <c r="S631" s="137"/>
      <c r="T631" s="137"/>
      <c r="U631" s="137"/>
      <c r="V631" s="137"/>
      <c r="W631" s="137"/>
    </row>
    <row r="632" spans="1:23" x14ac:dyDescent="0.2">
      <c r="A632" s="137"/>
      <c r="B632" s="137"/>
      <c r="C632" s="137"/>
      <c r="D632" s="137"/>
      <c r="E632" s="137"/>
      <c r="F632" s="137"/>
      <c r="G632" s="137"/>
      <c r="H632" s="137"/>
      <c r="I632" s="137"/>
      <c r="J632" s="137"/>
      <c r="K632" s="137"/>
      <c r="L632" s="137"/>
      <c r="M632" s="137"/>
      <c r="N632" s="137"/>
      <c r="O632" s="137"/>
      <c r="P632" s="137"/>
      <c r="Q632" s="137"/>
      <c r="R632" s="137"/>
      <c r="S632" s="137"/>
      <c r="T632" s="137"/>
      <c r="U632" s="137"/>
      <c r="V632" s="137"/>
      <c r="W632" s="137"/>
    </row>
    <row r="633" spans="1:23" x14ac:dyDescent="0.2">
      <c r="A633" s="137"/>
      <c r="B633" s="137"/>
      <c r="C633" s="137"/>
      <c r="D633" s="137"/>
      <c r="E633" s="137"/>
      <c r="F633" s="137"/>
      <c r="G633" s="137"/>
      <c r="H633" s="137"/>
      <c r="I633" s="137"/>
      <c r="J633" s="137"/>
      <c r="K633" s="137"/>
      <c r="L633" s="137"/>
      <c r="M633" s="137"/>
      <c r="N633" s="137"/>
      <c r="O633" s="137"/>
      <c r="P633" s="137"/>
      <c r="Q633" s="137"/>
      <c r="R633" s="137"/>
      <c r="S633" s="137"/>
      <c r="T633" s="137"/>
      <c r="U633" s="137"/>
      <c r="V633" s="137"/>
      <c r="W633" s="137"/>
    </row>
    <row r="634" spans="1:23" x14ac:dyDescent="0.2">
      <c r="A634" s="137"/>
      <c r="B634" s="137"/>
      <c r="C634" s="137"/>
      <c r="D634" s="137"/>
      <c r="E634" s="137"/>
      <c r="F634" s="137"/>
      <c r="G634" s="137"/>
      <c r="H634" s="137"/>
      <c r="I634" s="137"/>
      <c r="J634" s="137"/>
      <c r="K634" s="137"/>
      <c r="L634" s="137"/>
      <c r="M634" s="137"/>
      <c r="N634" s="137"/>
      <c r="O634" s="137"/>
      <c r="P634" s="137"/>
      <c r="Q634" s="137"/>
      <c r="R634" s="137"/>
      <c r="S634" s="137"/>
      <c r="T634" s="137"/>
      <c r="U634" s="137"/>
      <c r="V634" s="137"/>
      <c r="W634" s="137"/>
    </row>
    <row r="635" spans="1:23" x14ac:dyDescent="0.2">
      <c r="A635" s="137"/>
      <c r="B635" s="137"/>
      <c r="C635" s="137"/>
      <c r="D635" s="137"/>
      <c r="E635" s="137"/>
      <c r="F635" s="137"/>
      <c r="G635" s="137"/>
      <c r="H635" s="137"/>
      <c r="I635" s="137"/>
      <c r="J635" s="137"/>
      <c r="K635" s="137"/>
      <c r="L635" s="137"/>
      <c r="M635" s="137"/>
      <c r="N635" s="137"/>
      <c r="O635" s="137"/>
      <c r="P635" s="137"/>
      <c r="Q635" s="137"/>
      <c r="R635" s="137"/>
      <c r="S635" s="137"/>
      <c r="T635" s="137"/>
      <c r="U635" s="137"/>
      <c r="V635" s="137"/>
      <c r="W635" s="137"/>
    </row>
    <row r="636" spans="1:23" x14ac:dyDescent="0.2">
      <c r="A636" s="137"/>
      <c r="B636" s="137"/>
      <c r="C636" s="137"/>
      <c r="D636" s="137"/>
      <c r="E636" s="137"/>
      <c r="F636" s="137"/>
      <c r="G636" s="137"/>
      <c r="H636" s="137"/>
      <c r="I636" s="137"/>
      <c r="J636" s="137"/>
      <c r="K636" s="137"/>
      <c r="L636" s="137"/>
      <c r="M636" s="137"/>
      <c r="N636" s="137"/>
      <c r="O636" s="137"/>
      <c r="P636" s="137"/>
      <c r="Q636" s="137"/>
      <c r="R636" s="137"/>
      <c r="S636" s="137"/>
      <c r="T636" s="137"/>
      <c r="U636" s="137"/>
      <c r="V636" s="137"/>
      <c r="W636" s="137"/>
    </row>
    <row r="637" spans="1:23" x14ac:dyDescent="0.2">
      <c r="A637" s="137"/>
      <c r="B637" s="137"/>
      <c r="C637" s="137"/>
      <c r="D637" s="137"/>
      <c r="E637" s="137"/>
      <c r="F637" s="137"/>
      <c r="G637" s="137"/>
      <c r="H637" s="137"/>
      <c r="I637" s="137"/>
      <c r="J637" s="137"/>
      <c r="K637" s="137"/>
      <c r="L637" s="137"/>
      <c r="M637" s="137"/>
      <c r="N637" s="137"/>
      <c r="O637" s="137"/>
      <c r="P637" s="137"/>
      <c r="Q637" s="137"/>
      <c r="R637" s="137"/>
      <c r="S637" s="137"/>
      <c r="T637" s="137"/>
      <c r="U637" s="137"/>
      <c r="V637" s="137"/>
      <c r="W637" s="137"/>
    </row>
    <row r="638" spans="1:23" x14ac:dyDescent="0.2">
      <c r="A638" s="137"/>
      <c r="B638" s="137"/>
      <c r="C638" s="137"/>
      <c r="D638" s="137"/>
      <c r="E638" s="137"/>
      <c r="F638" s="137"/>
      <c r="G638" s="137"/>
      <c r="H638" s="137"/>
      <c r="I638" s="137"/>
      <c r="J638" s="137"/>
      <c r="K638" s="137"/>
      <c r="L638" s="137"/>
      <c r="M638" s="137"/>
      <c r="N638" s="137"/>
      <c r="O638" s="137"/>
      <c r="P638" s="137"/>
      <c r="Q638" s="137"/>
      <c r="R638" s="137"/>
      <c r="S638" s="137"/>
      <c r="T638" s="137"/>
      <c r="U638" s="137"/>
      <c r="V638" s="137"/>
      <c r="W638" s="137"/>
    </row>
    <row r="639" spans="1:23" x14ac:dyDescent="0.2">
      <c r="A639" s="137"/>
      <c r="B639" s="137"/>
      <c r="C639" s="137"/>
      <c r="D639" s="137"/>
      <c r="E639" s="137"/>
      <c r="F639" s="137"/>
      <c r="G639" s="137"/>
      <c r="H639" s="137"/>
      <c r="I639" s="137"/>
      <c r="J639" s="137"/>
      <c r="K639" s="137"/>
      <c r="L639" s="137"/>
      <c r="M639" s="137"/>
      <c r="N639" s="137"/>
      <c r="O639" s="137"/>
      <c r="P639" s="137"/>
      <c r="Q639" s="137"/>
      <c r="R639" s="137"/>
      <c r="S639" s="137"/>
      <c r="T639" s="137"/>
      <c r="U639" s="137"/>
      <c r="V639" s="137"/>
      <c r="W639" s="137"/>
    </row>
    <row r="640" spans="1:23" x14ac:dyDescent="0.2">
      <c r="A640" s="137"/>
      <c r="B640" s="137"/>
      <c r="C640" s="137"/>
      <c r="D640" s="137"/>
      <c r="E640" s="137"/>
      <c r="F640" s="137"/>
      <c r="G640" s="137"/>
      <c r="H640" s="137"/>
      <c r="I640" s="137"/>
      <c r="J640" s="137"/>
      <c r="K640" s="137"/>
      <c r="L640" s="137"/>
      <c r="M640" s="137"/>
      <c r="N640" s="137"/>
      <c r="O640" s="137"/>
      <c r="P640" s="137"/>
      <c r="Q640" s="137"/>
      <c r="R640" s="137"/>
      <c r="S640" s="137"/>
      <c r="T640" s="137"/>
      <c r="U640" s="137"/>
      <c r="V640" s="137"/>
      <c r="W640" s="137"/>
    </row>
    <row r="641" spans="1:23" x14ac:dyDescent="0.2">
      <c r="A641" s="137"/>
      <c r="B641" s="137"/>
      <c r="C641" s="137"/>
      <c r="D641" s="137"/>
      <c r="E641" s="137"/>
      <c r="F641" s="137"/>
      <c r="G641" s="137"/>
      <c r="H641" s="137"/>
      <c r="I641" s="137"/>
      <c r="J641" s="137"/>
      <c r="K641" s="137"/>
      <c r="L641" s="137"/>
      <c r="M641" s="137"/>
      <c r="N641" s="137"/>
      <c r="O641" s="137"/>
      <c r="P641" s="137"/>
      <c r="Q641" s="137"/>
      <c r="R641" s="137"/>
      <c r="S641" s="137"/>
      <c r="T641" s="137"/>
      <c r="U641" s="137"/>
      <c r="V641" s="137"/>
      <c r="W641" s="137"/>
    </row>
    <row r="642" spans="1:23" x14ac:dyDescent="0.2">
      <c r="A642" s="137"/>
      <c r="B642" s="137"/>
      <c r="C642" s="137"/>
      <c r="D642" s="137"/>
      <c r="E642" s="137"/>
      <c r="F642" s="137"/>
      <c r="G642" s="137"/>
      <c r="H642" s="137"/>
      <c r="I642" s="137"/>
      <c r="J642" s="137"/>
      <c r="K642" s="137"/>
      <c r="L642" s="137"/>
      <c r="M642" s="137"/>
      <c r="N642" s="137"/>
      <c r="O642" s="137"/>
      <c r="P642" s="137"/>
      <c r="Q642" s="137"/>
      <c r="R642" s="137"/>
      <c r="S642" s="137"/>
      <c r="T642" s="137"/>
      <c r="U642" s="137"/>
      <c r="V642" s="137"/>
      <c r="W642" s="137"/>
    </row>
    <row r="643" spans="1:23" x14ac:dyDescent="0.2">
      <c r="A643" s="137"/>
      <c r="B643" s="137"/>
      <c r="C643" s="137"/>
      <c r="D643" s="137"/>
      <c r="E643" s="137"/>
      <c r="F643" s="137"/>
      <c r="G643" s="137"/>
      <c r="H643" s="137"/>
      <c r="I643" s="137"/>
      <c r="J643" s="137"/>
      <c r="K643" s="137"/>
      <c r="L643" s="137"/>
      <c r="M643" s="137"/>
      <c r="N643" s="137"/>
      <c r="O643" s="137"/>
      <c r="P643" s="137"/>
      <c r="Q643" s="137"/>
      <c r="R643" s="137"/>
      <c r="S643" s="137"/>
      <c r="T643" s="137"/>
      <c r="U643" s="137"/>
      <c r="V643" s="137"/>
      <c r="W643" s="137"/>
    </row>
    <row r="644" spans="1:23" x14ac:dyDescent="0.2">
      <c r="A644" s="137"/>
      <c r="B644" s="137"/>
      <c r="C644" s="137"/>
      <c r="D644" s="137"/>
      <c r="E644" s="137"/>
      <c r="F644" s="137"/>
      <c r="G644" s="137"/>
      <c r="H644" s="137"/>
      <c r="I644" s="137"/>
      <c r="J644" s="137"/>
      <c r="K644" s="137"/>
      <c r="L644" s="137"/>
      <c r="M644" s="137"/>
      <c r="N644" s="137"/>
      <c r="O644" s="137"/>
      <c r="P644" s="137"/>
      <c r="Q644" s="137"/>
      <c r="R644" s="137"/>
      <c r="S644" s="137"/>
      <c r="T644" s="137"/>
      <c r="U644" s="137"/>
      <c r="V644" s="137"/>
      <c r="W644" s="137"/>
    </row>
    <row r="645" spans="1:23" x14ac:dyDescent="0.2">
      <c r="A645" s="137"/>
      <c r="B645" s="137"/>
      <c r="C645" s="137"/>
      <c r="D645" s="137"/>
      <c r="E645" s="137"/>
      <c r="F645" s="137"/>
      <c r="G645" s="137"/>
      <c r="H645" s="137"/>
      <c r="I645" s="137"/>
      <c r="J645" s="137"/>
      <c r="K645" s="137"/>
      <c r="L645" s="137"/>
      <c r="M645" s="137"/>
      <c r="N645" s="137"/>
      <c r="O645" s="137"/>
      <c r="P645" s="137"/>
      <c r="Q645" s="137"/>
      <c r="R645" s="137"/>
      <c r="S645" s="137"/>
      <c r="T645" s="137"/>
      <c r="U645" s="137"/>
      <c r="V645" s="137"/>
      <c r="W645" s="137"/>
    </row>
    <row r="646" spans="1:23" x14ac:dyDescent="0.2">
      <c r="A646" s="137"/>
      <c r="B646" s="137"/>
      <c r="C646" s="137"/>
      <c r="D646" s="137"/>
      <c r="E646" s="137"/>
      <c r="F646" s="137"/>
      <c r="G646" s="137"/>
      <c r="H646" s="137"/>
      <c r="I646" s="137"/>
      <c r="J646" s="137"/>
      <c r="K646" s="137"/>
      <c r="L646" s="137"/>
      <c r="M646" s="137"/>
      <c r="N646" s="137"/>
      <c r="O646" s="137"/>
      <c r="P646" s="137"/>
      <c r="Q646" s="137"/>
      <c r="R646" s="137"/>
      <c r="S646" s="137"/>
      <c r="T646" s="137"/>
      <c r="U646" s="137"/>
      <c r="V646" s="137"/>
      <c r="W646" s="137"/>
    </row>
    <row r="647" spans="1:23" x14ac:dyDescent="0.2">
      <c r="A647" s="137"/>
      <c r="B647" s="137"/>
      <c r="C647" s="137"/>
      <c r="D647" s="137"/>
      <c r="E647" s="137"/>
      <c r="F647" s="137"/>
      <c r="G647" s="137"/>
      <c r="H647" s="137"/>
      <c r="I647" s="137"/>
      <c r="J647" s="137"/>
      <c r="K647" s="137"/>
      <c r="L647" s="137"/>
      <c r="M647" s="137"/>
      <c r="N647" s="137"/>
      <c r="O647" s="137"/>
      <c r="P647" s="137"/>
      <c r="Q647" s="137"/>
      <c r="R647" s="137"/>
      <c r="S647" s="137"/>
      <c r="T647" s="137"/>
      <c r="U647" s="137"/>
      <c r="V647" s="137"/>
      <c r="W647" s="137"/>
    </row>
    <row r="648" spans="1:23" x14ac:dyDescent="0.2">
      <c r="A648" s="137"/>
      <c r="B648" s="137"/>
      <c r="C648" s="137"/>
      <c r="D648" s="137"/>
      <c r="E648" s="137"/>
      <c r="F648" s="137"/>
      <c r="G648" s="137"/>
      <c r="H648" s="137"/>
      <c r="I648" s="137"/>
      <c r="J648" s="137"/>
      <c r="K648" s="137"/>
      <c r="L648" s="137"/>
      <c r="M648" s="137"/>
      <c r="N648" s="137"/>
      <c r="O648" s="137"/>
      <c r="P648" s="137"/>
      <c r="Q648" s="137"/>
      <c r="R648" s="137"/>
      <c r="S648" s="137"/>
      <c r="T648" s="137"/>
      <c r="U648" s="137"/>
      <c r="V648" s="137"/>
      <c r="W648" s="137"/>
    </row>
    <row r="649" spans="1:23" x14ac:dyDescent="0.2">
      <c r="A649" s="137"/>
      <c r="B649" s="137"/>
      <c r="C649" s="137"/>
      <c r="D649" s="137"/>
      <c r="E649" s="137"/>
      <c r="F649" s="137"/>
      <c r="G649" s="137"/>
      <c r="H649" s="137"/>
      <c r="I649" s="137"/>
      <c r="J649" s="137"/>
      <c r="K649" s="137"/>
      <c r="L649" s="137"/>
      <c r="M649" s="137"/>
      <c r="N649" s="137"/>
      <c r="O649" s="137"/>
      <c r="P649" s="137"/>
      <c r="Q649" s="137"/>
      <c r="R649" s="137"/>
      <c r="S649" s="137"/>
      <c r="T649" s="137"/>
      <c r="U649" s="137"/>
      <c r="V649" s="137"/>
      <c r="W649" s="137"/>
    </row>
    <row r="650" spans="1:23" x14ac:dyDescent="0.2">
      <c r="A650" s="137"/>
      <c r="B650" s="137"/>
      <c r="C650" s="137"/>
      <c r="D650" s="137"/>
      <c r="E650" s="137"/>
      <c r="F650" s="137"/>
      <c r="G650" s="137"/>
      <c r="H650" s="137"/>
      <c r="I650" s="137"/>
      <c r="J650" s="137"/>
      <c r="K650" s="137"/>
      <c r="L650" s="137"/>
      <c r="M650" s="137"/>
      <c r="N650" s="137"/>
      <c r="O650" s="137"/>
      <c r="P650" s="137"/>
      <c r="Q650" s="137"/>
      <c r="R650" s="137"/>
      <c r="S650" s="137"/>
      <c r="T650" s="137"/>
      <c r="U650" s="137"/>
      <c r="V650" s="137"/>
      <c r="W650" s="137"/>
    </row>
    <row r="651" spans="1:23" x14ac:dyDescent="0.2">
      <c r="A651" s="137"/>
      <c r="B651" s="137"/>
      <c r="C651" s="137"/>
      <c r="D651" s="137"/>
      <c r="E651" s="137"/>
      <c r="F651" s="137"/>
      <c r="G651" s="137"/>
      <c r="H651" s="137"/>
      <c r="I651" s="137"/>
      <c r="J651" s="137"/>
      <c r="K651" s="137"/>
      <c r="L651" s="137"/>
      <c r="M651" s="137"/>
      <c r="N651" s="137"/>
      <c r="O651" s="137"/>
      <c r="P651" s="137"/>
      <c r="Q651" s="137"/>
      <c r="R651" s="137"/>
      <c r="S651" s="137"/>
      <c r="T651" s="137"/>
      <c r="U651" s="137"/>
      <c r="V651" s="137"/>
      <c r="W651" s="137"/>
    </row>
    <row r="652" spans="1:23" x14ac:dyDescent="0.2">
      <c r="A652" s="137"/>
      <c r="B652" s="137"/>
      <c r="C652" s="137"/>
      <c r="D652" s="137"/>
      <c r="E652" s="137"/>
      <c r="F652" s="137"/>
      <c r="G652" s="137"/>
      <c r="H652" s="137"/>
      <c r="I652" s="137"/>
      <c r="J652" s="137"/>
      <c r="K652" s="137"/>
      <c r="L652" s="137"/>
      <c r="M652" s="137"/>
      <c r="N652" s="137"/>
      <c r="O652" s="137"/>
      <c r="P652" s="137"/>
      <c r="Q652" s="137"/>
      <c r="R652" s="137"/>
      <c r="S652" s="137"/>
      <c r="T652" s="137"/>
      <c r="U652" s="137"/>
      <c r="V652" s="137"/>
      <c r="W652" s="137"/>
    </row>
    <row r="653" spans="1:23" x14ac:dyDescent="0.2">
      <c r="A653" s="137"/>
      <c r="B653" s="137"/>
      <c r="C653" s="137"/>
      <c r="D653" s="137"/>
      <c r="E653" s="137"/>
      <c r="F653" s="137"/>
      <c r="G653" s="137"/>
      <c r="H653" s="137"/>
      <c r="I653" s="137"/>
      <c r="J653" s="137"/>
      <c r="K653" s="137"/>
      <c r="L653" s="137"/>
      <c r="M653" s="137"/>
      <c r="N653" s="137"/>
      <c r="O653" s="137"/>
      <c r="P653" s="137"/>
      <c r="Q653" s="137"/>
      <c r="R653" s="137"/>
      <c r="S653" s="137"/>
      <c r="T653" s="137"/>
      <c r="U653" s="137"/>
      <c r="V653" s="137"/>
      <c r="W653" s="137"/>
    </row>
    <row r="654" spans="1:23" x14ac:dyDescent="0.2">
      <c r="A654" s="137"/>
      <c r="B654" s="137"/>
      <c r="C654" s="137"/>
      <c r="D654" s="137"/>
      <c r="E654" s="137"/>
      <c r="F654" s="137"/>
      <c r="G654" s="137"/>
      <c r="H654" s="137"/>
      <c r="I654" s="137"/>
      <c r="J654" s="137"/>
      <c r="K654" s="137"/>
      <c r="L654" s="137"/>
      <c r="M654" s="137"/>
      <c r="N654" s="137"/>
      <c r="O654" s="137"/>
      <c r="P654" s="137"/>
      <c r="Q654" s="137"/>
      <c r="R654" s="137"/>
      <c r="S654" s="137"/>
      <c r="T654" s="137"/>
      <c r="U654" s="137"/>
      <c r="V654" s="137"/>
      <c r="W654" s="137"/>
    </row>
    <row r="655" spans="1:23" x14ac:dyDescent="0.2">
      <c r="A655" s="137"/>
      <c r="B655" s="137"/>
      <c r="C655" s="137"/>
      <c r="D655" s="137"/>
      <c r="E655" s="137"/>
      <c r="F655" s="137"/>
      <c r="G655" s="137"/>
      <c r="H655" s="137"/>
      <c r="I655" s="137"/>
      <c r="J655" s="137"/>
      <c r="K655" s="137"/>
      <c r="L655" s="137"/>
      <c r="M655" s="137"/>
      <c r="N655" s="137"/>
      <c r="O655" s="137"/>
      <c r="P655" s="137"/>
      <c r="Q655" s="137"/>
      <c r="R655" s="137"/>
      <c r="S655" s="137"/>
      <c r="T655" s="137"/>
      <c r="U655" s="137"/>
      <c r="V655" s="137"/>
      <c r="W655" s="137"/>
    </row>
    <row r="656" spans="1:23" x14ac:dyDescent="0.2">
      <c r="A656" s="137"/>
      <c r="B656" s="137"/>
      <c r="C656" s="137"/>
      <c r="D656" s="137"/>
      <c r="E656" s="137"/>
      <c r="F656" s="137"/>
      <c r="G656" s="137"/>
      <c r="H656" s="137"/>
      <c r="I656" s="137"/>
      <c r="J656" s="137"/>
      <c r="K656" s="137"/>
      <c r="L656" s="137"/>
      <c r="M656" s="137"/>
      <c r="N656" s="137"/>
      <c r="O656" s="137"/>
      <c r="P656" s="137"/>
      <c r="Q656" s="137"/>
      <c r="R656" s="137"/>
      <c r="S656" s="137"/>
      <c r="T656" s="137"/>
      <c r="U656" s="137"/>
      <c r="V656" s="137"/>
      <c r="W656" s="137"/>
    </row>
    <row r="657" spans="1:23" x14ac:dyDescent="0.2">
      <c r="A657" s="137"/>
      <c r="B657" s="137"/>
      <c r="C657" s="137"/>
      <c r="D657" s="137"/>
      <c r="E657" s="137"/>
      <c r="F657" s="137"/>
      <c r="G657" s="137"/>
      <c r="H657" s="137"/>
      <c r="I657" s="137"/>
      <c r="J657" s="137"/>
      <c r="K657" s="137"/>
      <c r="L657" s="137"/>
      <c r="M657" s="137"/>
      <c r="N657" s="137"/>
      <c r="O657" s="137"/>
      <c r="P657" s="137"/>
      <c r="Q657" s="137"/>
      <c r="R657" s="137"/>
      <c r="S657" s="137"/>
      <c r="T657" s="137"/>
      <c r="U657" s="137"/>
      <c r="V657" s="137"/>
      <c r="W657" s="137"/>
    </row>
    <row r="658" spans="1:23" x14ac:dyDescent="0.2">
      <c r="A658" s="137"/>
      <c r="B658" s="137"/>
      <c r="C658" s="137"/>
      <c r="D658" s="137"/>
      <c r="E658" s="137"/>
      <c r="F658" s="137"/>
      <c r="G658" s="137"/>
      <c r="H658" s="137"/>
      <c r="I658" s="137"/>
      <c r="J658" s="137"/>
      <c r="K658" s="137"/>
      <c r="L658" s="137"/>
      <c r="M658" s="137"/>
      <c r="N658" s="137"/>
      <c r="O658" s="137"/>
      <c r="P658" s="137"/>
      <c r="Q658" s="137"/>
      <c r="R658" s="137"/>
      <c r="S658" s="137"/>
      <c r="T658" s="137"/>
      <c r="U658" s="137"/>
      <c r="V658" s="137"/>
      <c r="W658" s="137"/>
    </row>
    <row r="659" spans="1:23" x14ac:dyDescent="0.2">
      <c r="A659" s="137"/>
      <c r="B659" s="137"/>
      <c r="C659" s="137"/>
      <c r="D659" s="137"/>
      <c r="E659" s="137"/>
      <c r="F659" s="137"/>
      <c r="G659" s="137"/>
      <c r="H659" s="137"/>
      <c r="I659" s="137"/>
      <c r="J659" s="137"/>
      <c r="K659" s="137"/>
      <c r="L659" s="137"/>
      <c r="M659" s="137"/>
      <c r="N659" s="137"/>
      <c r="O659" s="137"/>
      <c r="P659" s="137"/>
      <c r="Q659" s="137"/>
      <c r="R659" s="137"/>
      <c r="S659" s="137"/>
      <c r="T659" s="137"/>
      <c r="U659" s="137"/>
      <c r="V659" s="137"/>
      <c r="W659" s="137"/>
    </row>
    <row r="660" spans="1:23" x14ac:dyDescent="0.2">
      <c r="A660" s="137"/>
      <c r="B660" s="137"/>
      <c r="C660" s="137"/>
      <c r="D660" s="137"/>
      <c r="E660" s="137"/>
      <c r="F660" s="137"/>
      <c r="G660" s="137"/>
      <c r="H660" s="137"/>
      <c r="I660" s="137"/>
      <c r="J660" s="137"/>
      <c r="K660" s="137"/>
      <c r="L660" s="137"/>
      <c r="M660" s="137"/>
      <c r="N660" s="137"/>
      <c r="O660" s="137"/>
      <c r="P660" s="137"/>
      <c r="Q660" s="137"/>
      <c r="R660" s="137"/>
      <c r="S660" s="137"/>
      <c r="T660" s="137"/>
      <c r="U660" s="137"/>
      <c r="V660" s="137"/>
      <c r="W660" s="137"/>
    </row>
    <row r="661" spans="1:23" x14ac:dyDescent="0.2">
      <c r="A661" s="137"/>
      <c r="B661" s="137"/>
      <c r="C661" s="137"/>
      <c r="D661" s="137"/>
      <c r="E661" s="137"/>
      <c r="F661" s="137"/>
      <c r="G661" s="137"/>
      <c r="H661" s="137"/>
      <c r="I661" s="137"/>
      <c r="J661" s="137"/>
      <c r="K661" s="137"/>
      <c r="L661" s="137"/>
      <c r="M661" s="137"/>
      <c r="N661" s="137"/>
      <c r="O661" s="137"/>
      <c r="P661" s="137"/>
      <c r="Q661" s="137"/>
      <c r="R661" s="137"/>
      <c r="S661" s="137"/>
      <c r="T661" s="137"/>
      <c r="U661" s="137"/>
      <c r="V661" s="137"/>
      <c r="W661" s="137"/>
    </row>
    <row r="662" spans="1:23" x14ac:dyDescent="0.2">
      <c r="A662" s="137"/>
      <c r="B662" s="137"/>
      <c r="C662" s="137"/>
      <c r="D662" s="137"/>
      <c r="E662" s="137"/>
      <c r="F662" s="137"/>
      <c r="G662" s="137"/>
      <c r="H662" s="137"/>
      <c r="I662" s="137"/>
      <c r="J662" s="137"/>
      <c r="K662" s="137"/>
      <c r="L662" s="137"/>
      <c r="M662" s="137"/>
      <c r="N662" s="137"/>
      <c r="O662" s="137"/>
      <c r="P662" s="137"/>
      <c r="Q662" s="137"/>
      <c r="R662" s="137"/>
      <c r="S662" s="137"/>
      <c r="T662" s="137"/>
      <c r="U662" s="137"/>
      <c r="V662" s="137"/>
      <c r="W662" s="137"/>
    </row>
    <row r="663" spans="1:23" x14ac:dyDescent="0.2">
      <c r="A663" s="137"/>
      <c r="B663" s="137"/>
      <c r="C663" s="137"/>
      <c r="D663" s="137"/>
      <c r="E663" s="137"/>
      <c r="F663" s="137"/>
      <c r="G663" s="137"/>
      <c r="H663" s="137"/>
      <c r="I663" s="137"/>
      <c r="J663" s="137"/>
      <c r="K663" s="137"/>
      <c r="L663" s="137"/>
      <c r="M663" s="137"/>
      <c r="N663" s="137"/>
      <c r="O663" s="137"/>
      <c r="P663" s="137"/>
      <c r="Q663" s="137"/>
      <c r="R663" s="137"/>
      <c r="S663" s="137"/>
      <c r="T663" s="137"/>
      <c r="U663" s="137"/>
      <c r="V663" s="137"/>
      <c r="W663" s="137"/>
    </row>
    <row r="664" spans="1:23" x14ac:dyDescent="0.2">
      <c r="A664" s="137"/>
      <c r="B664" s="137"/>
      <c r="C664" s="137"/>
      <c r="D664" s="137"/>
      <c r="E664" s="137"/>
      <c r="F664" s="137"/>
      <c r="G664" s="137"/>
      <c r="H664" s="137"/>
      <c r="I664" s="137"/>
      <c r="J664" s="137"/>
      <c r="K664" s="137"/>
      <c r="L664" s="137"/>
      <c r="M664" s="137"/>
      <c r="N664" s="137"/>
      <c r="O664" s="137"/>
      <c r="P664" s="137"/>
      <c r="Q664" s="137"/>
      <c r="R664" s="137"/>
      <c r="S664" s="137"/>
      <c r="T664" s="137"/>
      <c r="U664" s="137"/>
      <c r="V664" s="137"/>
      <c r="W664" s="137"/>
    </row>
    <row r="665" spans="1:23" x14ac:dyDescent="0.2">
      <c r="A665" s="137"/>
      <c r="B665" s="137"/>
      <c r="C665" s="137"/>
      <c r="D665" s="137"/>
      <c r="E665" s="137"/>
      <c r="F665" s="137"/>
      <c r="G665" s="137"/>
      <c r="H665" s="137"/>
      <c r="I665" s="137"/>
      <c r="J665" s="137"/>
      <c r="K665" s="137"/>
      <c r="L665" s="137"/>
      <c r="M665" s="137"/>
      <c r="N665" s="137"/>
      <c r="O665" s="137"/>
      <c r="P665" s="137"/>
      <c r="Q665" s="137"/>
      <c r="R665" s="137"/>
      <c r="S665" s="137"/>
      <c r="T665" s="137"/>
      <c r="U665" s="137"/>
      <c r="V665" s="137"/>
      <c r="W665" s="137"/>
    </row>
    <row r="666" spans="1:23" x14ac:dyDescent="0.2">
      <c r="A666" s="137"/>
      <c r="B666" s="137"/>
      <c r="C666" s="137"/>
      <c r="D666" s="137"/>
      <c r="E666" s="137"/>
      <c r="F666" s="137"/>
      <c r="G666" s="137"/>
      <c r="H666" s="137"/>
      <c r="I666" s="137"/>
      <c r="J666" s="137"/>
      <c r="K666" s="137"/>
      <c r="L666" s="137"/>
      <c r="M666" s="137"/>
      <c r="N666" s="137"/>
      <c r="O666" s="137"/>
      <c r="P666" s="137"/>
      <c r="Q666" s="137"/>
      <c r="R666" s="137"/>
      <c r="S666" s="137"/>
      <c r="T666" s="137"/>
      <c r="U666" s="137"/>
      <c r="V666" s="137"/>
      <c r="W666" s="137"/>
    </row>
    <row r="667" spans="1:23" x14ac:dyDescent="0.2">
      <c r="A667" s="137"/>
      <c r="B667" s="137"/>
      <c r="C667" s="137"/>
      <c r="D667" s="137"/>
      <c r="E667" s="137"/>
      <c r="F667" s="137"/>
      <c r="G667" s="137"/>
      <c r="H667" s="137"/>
      <c r="I667" s="137"/>
      <c r="J667" s="137"/>
      <c r="K667" s="137"/>
      <c r="L667" s="137"/>
      <c r="M667" s="137"/>
      <c r="N667" s="137"/>
      <c r="O667" s="137"/>
      <c r="P667" s="137"/>
      <c r="Q667" s="137"/>
      <c r="R667" s="137"/>
      <c r="S667" s="137"/>
      <c r="T667" s="137"/>
      <c r="U667" s="137"/>
      <c r="V667" s="137"/>
      <c r="W667" s="137"/>
    </row>
    <row r="668" spans="1:23" x14ac:dyDescent="0.2">
      <c r="A668" s="137"/>
      <c r="B668" s="137"/>
      <c r="C668" s="137"/>
      <c r="D668" s="137"/>
      <c r="E668" s="137"/>
      <c r="F668" s="137"/>
      <c r="G668" s="137"/>
      <c r="H668" s="137"/>
      <c r="I668" s="137"/>
      <c r="J668" s="137"/>
      <c r="K668" s="137"/>
      <c r="L668" s="137"/>
      <c r="M668" s="137"/>
      <c r="N668" s="137"/>
      <c r="O668" s="137"/>
      <c r="P668" s="137"/>
      <c r="Q668" s="137"/>
      <c r="R668" s="137"/>
      <c r="S668" s="137"/>
      <c r="T668" s="137"/>
      <c r="U668" s="137"/>
      <c r="V668" s="137"/>
      <c r="W668" s="137"/>
    </row>
    <row r="669" spans="1:23" x14ac:dyDescent="0.2">
      <c r="A669" s="137"/>
      <c r="B669" s="137"/>
      <c r="C669" s="137"/>
      <c r="D669" s="137"/>
      <c r="E669" s="137"/>
      <c r="F669" s="137"/>
      <c r="G669" s="137"/>
      <c r="H669" s="137"/>
      <c r="I669" s="137"/>
      <c r="J669" s="137"/>
      <c r="K669" s="137"/>
      <c r="L669" s="137"/>
      <c r="M669" s="137"/>
      <c r="N669" s="137"/>
      <c r="O669" s="137"/>
      <c r="P669" s="137"/>
      <c r="Q669" s="137"/>
      <c r="R669" s="137"/>
      <c r="S669" s="137"/>
      <c r="T669" s="137"/>
      <c r="U669" s="137"/>
      <c r="V669" s="137"/>
      <c r="W669" s="137"/>
    </row>
    <row r="670" spans="1:23" x14ac:dyDescent="0.2">
      <c r="A670" s="137"/>
      <c r="B670" s="137"/>
      <c r="C670" s="137"/>
      <c r="D670" s="137"/>
      <c r="E670" s="137"/>
      <c r="F670" s="137"/>
      <c r="G670" s="137"/>
      <c r="H670" s="137"/>
      <c r="I670" s="137"/>
      <c r="J670" s="137"/>
      <c r="K670" s="137"/>
      <c r="L670" s="137"/>
      <c r="M670" s="137"/>
      <c r="N670" s="137"/>
      <c r="O670" s="137"/>
      <c r="P670" s="137"/>
      <c r="Q670" s="137"/>
      <c r="R670" s="137"/>
      <c r="S670" s="137"/>
      <c r="T670" s="137"/>
      <c r="U670" s="137"/>
      <c r="V670" s="137"/>
      <c r="W670" s="137"/>
    </row>
    <row r="671" spans="1:23" x14ac:dyDescent="0.2">
      <c r="A671" s="137"/>
      <c r="B671" s="137"/>
      <c r="C671" s="137"/>
      <c r="D671" s="137"/>
      <c r="E671" s="137"/>
      <c r="F671" s="137"/>
      <c r="G671" s="137"/>
      <c r="H671" s="137"/>
      <c r="I671" s="137"/>
      <c r="J671" s="137"/>
      <c r="K671" s="137"/>
      <c r="L671" s="137"/>
      <c r="M671" s="137"/>
      <c r="N671" s="137"/>
      <c r="O671" s="137"/>
      <c r="P671" s="137"/>
      <c r="Q671" s="137"/>
      <c r="R671" s="137"/>
      <c r="S671" s="137"/>
      <c r="T671" s="137"/>
      <c r="U671" s="137"/>
      <c r="V671" s="137"/>
      <c r="W671" s="137"/>
    </row>
    <row r="672" spans="1:23" x14ac:dyDescent="0.2">
      <c r="A672" s="137"/>
      <c r="B672" s="137"/>
      <c r="C672" s="137"/>
      <c r="D672" s="137"/>
      <c r="E672" s="137"/>
      <c r="F672" s="137"/>
      <c r="G672" s="137"/>
      <c r="H672" s="137"/>
      <c r="I672" s="137"/>
      <c r="J672" s="137"/>
      <c r="K672" s="137"/>
      <c r="L672" s="137"/>
      <c r="M672" s="137"/>
      <c r="N672" s="137"/>
      <c r="O672" s="137"/>
      <c r="P672" s="137"/>
      <c r="Q672" s="137"/>
      <c r="R672" s="137"/>
      <c r="S672" s="137"/>
      <c r="T672" s="137"/>
      <c r="U672" s="137"/>
      <c r="V672" s="137"/>
      <c r="W672" s="137"/>
    </row>
    <row r="673" spans="1:23" x14ac:dyDescent="0.2">
      <c r="A673" s="137"/>
      <c r="B673" s="137"/>
      <c r="C673" s="137"/>
      <c r="D673" s="137"/>
      <c r="E673" s="137"/>
      <c r="F673" s="137"/>
      <c r="G673" s="137"/>
      <c r="H673" s="137"/>
      <c r="I673" s="137"/>
      <c r="J673" s="137"/>
      <c r="K673" s="137"/>
      <c r="L673" s="137"/>
      <c r="M673" s="137"/>
      <c r="N673" s="137"/>
      <c r="O673" s="137"/>
      <c r="P673" s="137"/>
      <c r="Q673" s="137"/>
      <c r="R673" s="137"/>
      <c r="S673" s="137"/>
      <c r="T673" s="137"/>
      <c r="U673" s="137"/>
      <c r="V673" s="137"/>
      <c r="W673" s="137"/>
    </row>
    <row r="674" spans="1:23" x14ac:dyDescent="0.2">
      <c r="A674" s="137"/>
      <c r="B674" s="137"/>
      <c r="C674" s="137"/>
      <c r="D674" s="137"/>
      <c r="E674" s="137"/>
      <c r="F674" s="137"/>
      <c r="G674" s="137"/>
      <c r="H674" s="137"/>
      <c r="I674" s="137"/>
      <c r="J674" s="137"/>
      <c r="K674" s="137"/>
      <c r="L674" s="137"/>
      <c r="M674" s="137"/>
      <c r="N674" s="137"/>
      <c r="O674" s="137"/>
      <c r="P674" s="137"/>
      <c r="Q674" s="137"/>
      <c r="R674" s="137"/>
      <c r="S674" s="137"/>
      <c r="T674" s="137"/>
      <c r="U674" s="137"/>
      <c r="V674" s="137"/>
      <c r="W674" s="137"/>
    </row>
    <row r="675" spans="1:23" x14ac:dyDescent="0.2">
      <c r="A675" s="137"/>
      <c r="B675" s="137"/>
      <c r="C675" s="137"/>
      <c r="D675" s="137"/>
      <c r="E675" s="137"/>
      <c r="F675" s="137"/>
      <c r="G675" s="137"/>
      <c r="H675" s="137"/>
      <c r="I675" s="137"/>
      <c r="J675" s="137"/>
      <c r="K675" s="137"/>
      <c r="L675" s="137"/>
      <c r="M675" s="137"/>
      <c r="N675" s="137"/>
      <c r="O675" s="137"/>
      <c r="P675" s="137"/>
      <c r="Q675" s="137"/>
      <c r="R675" s="137"/>
      <c r="S675" s="137"/>
      <c r="T675" s="137"/>
      <c r="U675" s="137"/>
      <c r="V675" s="137"/>
      <c r="W675" s="137"/>
    </row>
    <row r="676" spans="1:23" x14ac:dyDescent="0.2">
      <c r="A676" s="137"/>
      <c r="B676" s="137"/>
      <c r="C676" s="137"/>
      <c r="D676" s="137"/>
      <c r="E676" s="137"/>
      <c r="F676" s="137"/>
      <c r="G676" s="137"/>
      <c r="H676" s="137"/>
      <c r="I676" s="137"/>
      <c r="J676" s="137"/>
      <c r="K676" s="137"/>
      <c r="L676" s="137"/>
      <c r="M676" s="137"/>
      <c r="N676" s="137"/>
      <c r="O676" s="137"/>
      <c r="P676" s="137"/>
      <c r="Q676" s="137"/>
      <c r="R676" s="137"/>
      <c r="S676" s="137"/>
      <c r="T676" s="137"/>
      <c r="U676" s="137"/>
      <c r="V676" s="137"/>
      <c r="W676" s="137"/>
    </row>
    <row r="677" spans="1:23" x14ac:dyDescent="0.2">
      <c r="A677" s="137"/>
      <c r="B677" s="137"/>
      <c r="C677" s="137"/>
      <c r="D677" s="137"/>
      <c r="E677" s="137"/>
      <c r="F677" s="137"/>
      <c r="G677" s="137"/>
      <c r="H677" s="137"/>
      <c r="I677" s="137"/>
      <c r="J677" s="137"/>
      <c r="K677" s="137"/>
      <c r="L677" s="137"/>
      <c r="M677" s="137"/>
      <c r="N677" s="137"/>
      <c r="O677" s="137"/>
      <c r="P677" s="137"/>
      <c r="Q677" s="137"/>
      <c r="R677" s="137"/>
      <c r="S677" s="137"/>
      <c r="T677" s="137"/>
      <c r="U677" s="137"/>
      <c r="V677" s="137"/>
      <c r="W677" s="137"/>
    </row>
    <row r="678" spans="1:23" x14ac:dyDescent="0.2">
      <c r="A678" s="137"/>
      <c r="B678" s="137"/>
      <c r="C678" s="137"/>
      <c r="D678" s="137"/>
      <c r="E678" s="137"/>
      <c r="F678" s="137"/>
      <c r="G678" s="137"/>
      <c r="H678" s="137"/>
      <c r="I678" s="137"/>
      <c r="J678" s="137"/>
      <c r="K678" s="137"/>
      <c r="L678" s="137"/>
      <c r="M678" s="137"/>
      <c r="N678" s="137"/>
      <c r="O678" s="137"/>
      <c r="P678" s="137"/>
      <c r="Q678" s="137"/>
      <c r="R678" s="137"/>
      <c r="S678" s="137"/>
      <c r="T678" s="137"/>
      <c r="U678" s="137"/>
      <c r="V678" s="137"/>
      <c r="W678" s="137"/>
    </row>
    <row r="679" spans="1:23" x14ac:dyDescent="0.2">
      <c r="A679" s="137"/>
      <c r="B679" s="137"/>
      <c r="C679" s="137"/>
      <c r="D679" s="137"/>
      <c r="E679" s="137"/>
      <c r="F679" s="137"/>
      <c r="G679" s="137"/>
      <c r="H679" s="137"/>
      <c r="I679" s="137"/>
      <c r="J679" s="137"/>
      <c r="K679" s="137"/>
      <c r="L679" s="137"/>
      <c r="M679" s="137"/>
      <c r="N679" s="137"/>
      <c r="O679" s="137"/>
      <c r="P679" s="137"/>
      <c r="Q679" s="137"/>
      <c r="R679" s="137"/>
      <c r="S679" s="137"/>
      <c r="T679" s="137"/>
      <c r="U679" s="137"/>
      <c r="V679" s="137"/>
      <c r="W679" s="137"/>
    </row>
    <row r="680" spans="1:23" x14ac:dyDescent="0.2">
      <c r="A680" s="137"/>
      <c r="B680" s="137"/>
      <c r="C680" s="137"/>
      <c r="D680" s="137"/>
      <c r="E680" s="137"/>
      <c r="F680" s="137"/>
      <c r="G680" s="137"/>
      <c r="H680" s="137"/>
      <c r="I680" s="137"/>
      <c r="J680" s="137"/>
      <c r="K680" s="137"/>
      <c r="L680" s="137"/>
      <c r="M680" s="137"/>
      <c r="N680" s="137"/>
      <c r="O680" s="137"/>
      <c r="P680" s="137"/>
      <c r="Q680" s="137"/>
      <c r="R680" s="137"/>
      <c r="S680" s="137"/>
      <c r="T680" s="137"/>
      <c r="U680" s="137"/>
      <c r="V680" s="137"/>
      <c r="W680" s="137"/>
    </row>
    <row r="681" spans="1:23" x14ac:dyDescent="0.2">
      <c r="A681" s="137"/>
      <c r="B681" s="137"/>
      <c r="C681" s="137"/>
      <c r="D681" s="137"/>
      <c r="E681" s="137"/>
      <c r="F681" s="137"/>
      <c r="G681" s="137"/>
      <c r="H681" s="137"/>
      <c r="I681" s="137"/>
      <c r="J681" s="137"/>
      <c r="K681" s="137"/>
      <c r="L681" s="137"/>
      <c r="M681" s="137"/>
      <c r="N681" s="137"/>
      <c r="O681" s="137"/>
      <c r="P681" s="137"/>
      <c r="Q681" s="137"/>
      <c r="R681" s="137"/>
      <c r="S681" s="137"/>
      <c r="T681" s="137"/>
      <c r="U681" s="137"/>
      <c r="V681" s="137"/>
      <c r="W681" s="137"/>
    </row>
    <row r="682" spans="1:23" x14ac:dyDescent="0.2">
      <c r="A682" s="137"/>
      <c r="B682" s="137"/>
      <c r="C682" s="137"/>
      <c r="D682" s="137"/>
      <c r="E682" s="137"/>
      <c r="F682" s="137"/>
      <c r="G682" s="137"/>
      <c r="H682" s="137"/>
      <c r="I682" s="137"/>
      <c r="J682" s="137"/>
      <c r="K682" s="137"/>
      <c r="L682" s="137"/>
      <c r="M682" s="137"/>
      <c r="N682" s="137"/>
      <c r="O682" s="137"/>
      <c r="P682" s="137"/>
      <c r="Q682" s="137"/>
      <c r="R682" s="137"/>
      <c r="S682" s="137"/>
      <c r="T682" s="137"/>
      <c r="U682" s="137"/>
      <c r="V682" s="137"/>
      <c r="W682" s="137"/>
    </row>
    <row r="683" spans="1:23" x14ac:dyDescent="0.2">
      <c r="A683" s="137"/>
      <c r="B683" s="137"/>
      <c r="C683" s="137"/>
      <c r="D683" s="137"/>
      <c r="E683" s="137"/>
      <c r="F683" s="137"/>
      <c r="G683" s="137"/>
      <c r="H683" s="137"/>
      <c r="I683" s="137"/>
      <c r="J683" s="137"/>
      <c r="K683" s="137"/>
      <c r="L683" s="137"/>
      <c r="M683" s="137"/>
      <c r="N683" s="137"/>
      <c r="O683" s="137"/>
      <c r="P683" s="137"/>
      <c r="Q683" s="137"/>
      <c r="R683" s="137"/>
      <c r="S683" s="137"/>
      <c r="T683" s="137"/>
      <c r="U683" s="137"/>
      <c r="V683" s="137"/>
      <c r="W683" s="137"/>
    </row>
    <row r="684" spans="1:23" x14ac:dyDescent="0.2">
      <c r="A684" s="137"/>
      <c r="B684" s="137"/>
      <c r="C684" s="137"/>
      <c r="D684" s="137"/>
      <c r="E684" s="137"/>
      <c r="F684" s="137"/>
      <c r="G684" s="137"/>
      <c r="H684" s="137"/>
      <c r="I684" s="137"/>
      <c r="J684" s="137"/>
      <c r="K684" s="137"/>
      <c r="L684" s="137"/>
      <c r="M684" s="137"/>
      <c r="N684" s="137"/>
      <c r="O684" s="137"/>
      <c r="P684" s="137"/>
      <c r="Q684" s="137"/>
      <c r="R684" s="137"/>
      <c r="S684" s="137"/>
      <c r="T684" s="137"/>
      <c r="U684" s="137"/>
      <c r="V684" s="137"/>
      <c r="W684" s="137"/>
    </row>
    <row r="685" spans="1:23" x14ac:dyDescent="0.2">
      <c r="A685" s="137"/>
      <c r="B685" s="137"/>
      <c r="C685" s="137"/>
      <c r="D685" s="137"/>
      <c r="E685" s="137"/>
      <c r="F685" s="137"/>
      <c r="G685" s="137"/>
      <c r="H685" s="137"/>
      <c r="I685" s="137"/>
      <c r="J685" s="137"/>
      <c r="K685" s="137"/>
      <c r="L685" s="137"/>
      <c r="M685" s="137"/>
      <c r="N685" s="137"/>
      <c r="O685" s="137"/>
      <c r="P685" s="137"/>
      <c r="Q685" s="137"/>
      <c r="R685" s="137"/>
      <c r="S685" s="137"/>
      <c r="T685" s="137"/>
      <c r="U685" s="137"/>
      <c r="V685" s="137"/>
      <c r="W685" s="137"/>
    </row>
    <row r="686" spans="1:23" x14ac:dyDescent="0.2">
      <c r="A686" s="137"/>
      <c r="B686" s="137"/>
      <c r="C686" s="137"/>
      <c r="D686" s="137"/>
      <c r="E686" s="137"/>
      <c r="F686" s="137"/>
      <c r="G686" s="137"/>
      <c r="H686" s="137"/>
      <c r="I686" s="137"/>
      <c r="J686" s="137"/>
      <c r="K686" s="137"/>
      <c r="L686" s="137"/>
      <c r="M686" s="137"/>
      <c r="N686" s="137"/>
      <c r="O686" s="137"/>
      <c r="P686" s="137"/>
      <c r="Q686" s="137"/>
      <c r="R686" s="137"/>
      <c r="S686" s="137"/>
      <c r="T686" s="137"/>
      <c r="U686" s="137"/>
      <c r="V686" s="137"/>
      <c r="W686" s="137"/>
    </row>
    <row r="687" spans="1:23" x14ac:dyDescent="0.2">
      <c r="A687" s="137"/>
      <c r="B687" s="137"/>
      <c r="C687" s="137"/>
      <c r="D687" s="137"/>
      <c r="E687" s="137"/>
      <c r="F687" s="137"/>
      <c r="G687" s="137"/>
      <c r="H687" s="137"/>
      <c r="I687" s="137"/>
      <c r="J687" s="137"/>
      <c r="K687" s="137"/>
      <c r="L687" s="137"/>
      <c r="M687" s="137"/>
      <c r="N687" s="137"/>
      <c r="O687" s="137"/>
      <c r="P687" s="137"/>
      <c r="Q687" s="137"/>
      <c r="R687" s="137"/>
      <c r="S687" s="137"/>
      <c r="T687" s="137"/>
      <c r="U687" s="137"/>
      <c r="V687" s="137"/>
      <c r="W687" s="137"/>
    </row>
    <row r="688" spans="1:23" x14ac:dyDescent="0.2">
      <c r="A688" s="137"/>
      <c r="B688" s="137"/>
      <c r="C688" s="137"/>
      <c r="D688" s="137"/>
      <c r="E688" s="137"/>
      <c r="F688" s="137"/>
      <c r="G688" s="137"/>
      <c r="H688" s="137"/>
      <c r="I688" s="137"/>
      <c r="J688" s="137"/>
      <c r="K688" s="137"/>
      <c r="L688" s="137"/>
      <c r="M688" s="137"/>
      <c r="N688" s="137"/>
      <c r="O688" s="137"/>
      <c r="P688" s="137"/>
      <c r="Q688" s="137"/>
      <c r="R688" s="137"/>
      <c r="S688" s="137"/>
      <c r="T688" s="137"/>
      <c r="U688" s="137"/>
      <c r="V688" s="137"/>
      <c r="W688" s="137"/>
    </row>
    <row r="689" spans="1:23" x14ac:dyDescent="0.2">
      <c r="A689" s="137"/>
      <c r="B689" s="137"/>
      <c r="C689" s="137"/>
      <c r="D689" s="137"/>
      <c r="E689" s="137"/>
      <c r="F689" s="137"/>
      <c r="G689" s="137"/>
      <c r="H689" s="137"/>
      <c r="I689" s="137"/>
      <c r="J689" s="137"/>
      <c r="K689" s="137"/>
      <c r="L689" s="137"/>
      <c r="M689" s="137"/>
      <c r="N689" s="137"/>
      <c r="O689" s="137"/>
      <c r="P689" s="137"/>
      <c r="Q689" s="137"/>
      <c r="R689" s="137"/>
      <c r="S689" s="137"/>
      <c r="T689" s="137"/>
      <c r="U689" s="137"/>
      <c r="V689" s="137"/>
      <c r="W689" s="137"/>
    </row>
    <row r="690" spans="1:23" x14ac:dyDescent="0.2">
      <c r="A690" s="137"/>
      <c r="B690" s="137"/>
      <c r="C690" s="137"/>
      <c r="D690" s="137"/>
      <c r="E690" s="137"/>
      <c r="F690" s="137"/>
      <c r="G690" s="137"/>
      <c r="H690" s="137"/>
      <c r="I690" s="137"/>
      <c r="J690" s="137"/>
      <c r="K690" s="137"/>
      <c r="L690" s="137"/>
      <c r="M690" s="137"/>
      <c r="N690" s="137"/>
      <c r="O690" s="137"/>
      <c r="P690" s="137"/>
      <c r="Q690" s="137"/>
      <c r="R690" s="137"/>
      <c r="S690" s="137"/>
      <c r="T690" s="137"/>
      <c r="U690" s="137"/>
      <c r="V690" s="137"/>
      <c r="W690" s="137"/>
    </row>
    <row r="691" spans="1:23" x14ac:dyDescent="0.2">
      <c r="A691" s="137"/>
      <c r="B691" s="137"/>
      <c r="C691" s="137"/>
      <c r="D691" s="137"/>
      <c r="E691" s="137"/>
      <c r="F691" s="137"/>
      <c r="G691" s="137"/>
      <c r="H691" s="137"/>
      <c r="I691" s="137"/>
      <c r="J691" s="137"/>
      <c r="K691" s="137"/>
      <c r="L691" s="137"/>
      <c r="M691" s="137"/>
      <c r="N691" s="137"/>
      <c r="O691" s="137"/>
      <c r="P691" s="137"/>
      <c r="Q691" s="137"/>
      <c r="R691" s="137"/>
      <c r="S691" s="137"/>
      <c r="T691" s="137"/>
      <c r="U691" s="137"/>
      <c r="V691" s="137"/>
      <c r="W691" s="137"/>
    </row>
    <row r="692" spans="1:23" x14ac:dyDescent="0.2">
      <c r="A692" s="137"/>
      <c r="B692" s="137"/>
      <c r="C692" s="137"/>
      <c r="D692" s="137"/>
      <c r="E692" s="137"/>
      <c r="F692" s="137"/>
      <c r="G692" s="137"/>
      <c r="H692" s="137"/>
      <c r="I692" s="137"/>
      <c r="J692" s="137"/>
      <c r="K692" s="137"/>
      <c r="L692" s="137"/>
      <c r="M692" s="137"/>
      <c r="N692" s="137"/>
      <c r="O692" s="137"/>
      <c r="P692" s="137"/>
      <c r="Q692" s="137"/>
      <c r="R692" s="137"/>
      <c r="S692" s="137"/>
      <c r="T692" s="137"/>
      <c r="U692" s="137"/>
      <c r="V692" s="137"/>
      <c r="W692" s="137"/>
    </row>
    <row r="693" spans="1:23" x14ac:dyDescent="0.2">
      <c r="A693" s="137"/>
      <c r="B693" s="137"/>
      <c r="C693" s="137"/>
      <c r="D693" s="137"/>
      <c r="E693" s="137"/>
      <c r="F693" s="137"/>
      <c r="G693" s="137"/>
      <c r="H693" s="137"/>
      <c r="I693" s="137"/>
      <c r="J693" s="137"/>
      <c r="K693" s="137"/>
      <c r="L693" s="137"/>
      <c r="M693" s="137"/>
      <c r="N693" s="137"/>
      <c r="O693" s="137"/>
      <c r="P693" s="137"/>
      <c r="Q693" s="137"/>
      <c r="R693" s="137"/>
      <c r="S693" s="137"/>
      <c r="T693" s="137"/>
      <c r="U693" s="137"/>
      <c r="V693" s="137"/>
      <c r="W693" s="137"/>
    </row>
    <row r="694" spans="1:23" x14ac:dyDescent="0.2">
      <c r="A694" s="137"/>
      <c r="B694" s="137"/>
      <c r="C694" s="137"/>
      <c r="D694" s="137"/>
      <c r="E694" s="137"/>
      <c r="F694" s="137"/>
      <c r="G694" s="137"/>
      <c r="H694" s="137"/>
      <c r="I694" s="137"/>
      <c r="J694" s="137"/>
      <c r="K694" s="137"/>
      <c r="L694" s="137"/>
      <c r="M694" s="137"/>
      <c r="N694" s="137"/>
      <c r="O694" s="137"/>
      <c r="P694" s="137"/>
      <c r="Q694" s="137"/>
      <c r="R694" s="137"/>
      <c r="S694" s="137"/>
      <c r="T694" s="137"/>
      <c r="U694" s="137"/>
      <c r="V694" s="137"/>
      <c r="W694" s="137"/>
    </row>
    <row r="695" spans="1:23" x14ac:dyDescent="0.2">
      <c r="A695" s="137"/>
      <c r="B695" s="137"/>
      <c r="C695" s="137"/>
      <c r="D695" s="137"/>
      <c r="E695" s="137"/>
      <c r="F695" s="137"/>
      <c r="G695" s="137"/>
      <c r="H695" s="137"/>
      <c r="I695" s="137"/>
      <c r="J695" s="137"/>
      <c r="K695" s="137"/>
      <c r="L695" s="137"/>
      <c r="M695" s="137"/>
      <c r="N695" s="137"/>
      <c r="O695" s="137"/>
      <c r="P695" s="137"/>
      <c r="Q695" s="137"/>
      <c r="R695" s="137"/>
      <c r="S695" s="137"/>
      <c r="T695" s="137"/>
      <c r="U695" s="137"/>
      <c r="V695" s="137"/>
      <c r="W695" s="137"/>
    </row>
    <row r="696" spans="1:23" x14ac:dyDescent="0.2">
      <c r="A696" s="137"/>
      <c r="B696" s="137"/>
      <c r="C696" s="137"/>
      <c r="D696" s="137"/>
      <c r="E696" s="137"/>
      <c r="F696" s="137"/>
      <c r="G696" s="137"/>
      <c r="H696" s="137"/>
      <c r="I696" s="137"/>
      <c r="J696" s="137"/>
      <c r="K696" s="137"/>
      <c r="L696" s="137"/>
      <c r="M696" s="137"/>
      <c r="N696" s="137"/>
      <c r="O696" s="137"/>
      <c r="P696" s="137"/>
      <c r="Q696" s="137"/>
      <c r="R696" s="137"/>
      <c r="S696" s="137"/>
      <c r="T696" s="137"/>
      <c r="U696" s="137"/>
      <c r="V696" s="137"/>
      <c r="W696" s="137"/>
    </row>
    <row r="697" spans="1:23" x14ac:dyDescent="0.2">
      <c r="A697" s="137"/>
      <c r="B697" s="137"/>
      <c r="C697" s="137"/>
      <c r="D697" s="137"/>
      <c r="E697" s="137"/>
      <c r="F697" s="137"/>
      <c r="G697" s="137"/>
      <c r="H697" s="137"/>
      <c r="I697" s="137"/>
      <c r="J697" s="137"/>
      <c r="K697" s="137"/>
      <c r="L697" s="137"/>
      <c r="M697" s="137"/>
      <c r="N697" s="137"/>
      <c r="O697" s="137"/>
      <c r="P697" s="137"/>
      <c r="Q697" s="137"/>
      <c r="R697" s="137"/>
      <c r="S697" s="137"/>
      <c r="T697" s="137"/>
      <c r="U697" s="137"/>
      <c r="V697" s="137"/>
      <c r="W697" s="137"/>
    </row>
    <row r="698" spans="1:23" x14ac:dyDescent="0.2">
      <c r="A698" s="137"/>
      <c r="B698" s="137"/>
      <c r="C698" s="137"/>
      <c r="D698" s="137"/>
      <c r="E698" s="137"/>
      <c r="F698" s="137"/>
      <c r="G698" s="137"/>
      <c r="H698" s="137"/>
      <c r="I698" s="137"/>
      <c r="J698" s="137"/>
      <c r="K698" s="137"/>
      <c r="L698" s="137"/>
      <c r="M698" s="137"/>
      <c r="N698" s="137"/>
      <c r="O698" s="137"/>
      <c r="P698" s="137"/>
      <c r="Q698" s="137"/>
      <c r="R698" s="137"/>
      <c r="S698" s="137"/>
      <c r="T698" s="137"/>
      <c r="U698" s="137"/>
      <c r="V698" s="137"/>
      <c r="W698" s="137"/>
    </row>
    <row r="699" spans="1:23" x14ac:dyDescent="0.2">
      <c r="A699" s="137"/>
      <c r="B699" s="137"/>
      <c r="C699" s="137"/>
      <c r="D699" s="137"/>
      <c r="E699" s="137"/>
      <c r="F699" s="137"/>
      <c r="G699" s="137"/>
      <c r="H699" s="137"/>
      <c r="I699" s="137"/>
      <c r="J699" s="137"/>
      <c r="K699" s="137"/>
      <c r="L699" s="137"/>
      <c r="M699" s="137"/>
      <c r="N699" s="137"/>
      <c r="O699" s="137"/>
      <c r="P699" s="137"/>
      <c r="Q699" s="137"/>
      <c r="R699" s="137"/>
      <c r="S699" s="137"/>
      <c r="T699" s="137"/>
      <c r="U699" s="137"/>
      <c r="V699" s="137"/>
      <c r="W699" s="137"/>
    </row>
    <row r="700" spans="1:23" x14ac:dyDescent="0.2">
      <c r="A700" s="137"/>
      <c r="B700" s="137"/>
      <c r="C700" s="137"/>
      <c r="D700" s="137"/>
      <c r="E700" s="137"/>
      <c r="F700" s="137"/>
      <c r="G700" s="137"/>
      <c r="H700" s="137"/>
      <c r="I700" s="137"/>
      <c r="J700" s="137"/>
      <c r="K700" s="137"/>
      <c r="L700" s="137"/>
      <c r="M700" s="137"/>
      <c r="N700" s="137"/>
      <c r="O700" s="137"/>
      <c r="P700" s="137"/>
      <c r="Q700" s="137"/>
      <c r="R700" s="137"/>
      <c r="S700" s="137"/>
      <c r="T700" s="137"/>
      <c r="U700" s="137"/>
      <c r="V700" s="137"/>
      <c r="W700" s="137"/>
    </row>
    <row r="701" spans="1:23" x14ac:dyDescent="0.2">
      <c r="A701" s="137"/>
      <c r="B701" s="137"/>
      <c r="C701" s="137"/>
      <c r="D701" s="137"/>
      <c r="E701" s="137"/>
      <c r="F701" s="137"/>
      <c r="G701" s="137"/>
      <c r="H701" s="137"/>
      <c r="I701" s="137"/>
      <c r="J701" s="137"/>
      <c r="K701" s="137"/>
      <c r="L701" s="137"/>
      <c r="M701" s="137"/>
      <c r="N701" s="137"/>
      <c r="O701" s="137"/>
      <c r="P701" s="137"/>
      <c r="Q701" s="137"/>
      <c r="R701" s="137"/>
      <c r="S701" s="137"/>
      <c r="T701" s="137"/>
      <c r="U701" s="137"/>
      <c r="V701" s="137"/>
      <c r="W701" s="137"/>
    </row>
    <row r="702" spans="1:23" x14ac:dyDescent="0.2">
      <c r="A702" s="137"/>
      <c r="B702" s="137"/>
      <c r="C702" s="137"/>
      <c r="D702" s="137"/>
      <c r="E702" s="137"/>
      <c r="F702" s="137"/>
      <c r="G702" s="137"/>
      <c r="H702" s="137"/>
      <c r="I702" s="137"/>
      <c r="J702" s="137"/>
      <c r="K702" s="137"/>
      <c r="L702" s="137"/>
      <c r="M702" s="137"/>
      <c r="N702" s="137"/>
      <c r="O702" s="137"/>
      <c r="P702" s="137"/>
      <c r="Q702" s="137"/>
      <c r="R702" s="137"/>
      <c r="S702" s="137"/>
      <c r="T702" s="137"/>
      <c r="U702" s="137"/>
      <c r="V702" s="137"/>
      <c r="W702" s="137"/>
    </row>
    <row r="703" spans="1:23" x14ac:dyDescent="0.2">
      <c r="A703" s="137"/>
      <c r="B703" s="137"/>
      <c r="C703" s="137"/>
      <c r="D703" s="137"/>
      <c r="E703" s="137"/>
      <c r="F703" s="137"/>
      <c r="G703" s="137"/>
      <c r="H703" s="137"/>
      <c r="I703" s="137"/>
      <c r="J703" s="137"/>
      <c r="K703" s="137"/>
      <c r="L703" s="137"/>
      <c r="M703" s="137"/>
      <c r="N703" s="137"/>
      <c r="O703" s="137"/>
      <c r="P703" s="137"/>
      <c r="Q703" s="137"/>
      <c r="R703" s="137"/>
      <c r="S703" s="137"/>
      <c r="T703" s="137"/>
      <c r="U703" s="137"/>
      <c r="V703" s="137"/>
      <c r="W703" s="137"/>
    </row>
    <row r="704" spans="1:23" x14ac:dyDescent="0.2">
      <c r="A704" s="137"/>
      <c r="B704" s="137"/>
      <c r="C704" s="137"/>
      <c r="D704" s="137"/>
      <c r="E704" s="137"/>
      <c r="F704" s="137"/>
      <c r="G704" s="137"/>
      <c r="H704" s="137"/>
      <c r="I704" s="137"/>
      <c r="J704" s="137"/>
      <c r="K704" s="137"/>
      <c r="L704" s="137"/>
      <c r="M704" s="137"/>
      <c r="N704" s="137"/>
      <c r="O704" s="137"/>
      <c r="P704" s="137"/>
      <c r="Q704" s="137"/>
      <c r="R704" s="137"/>
      <c r="S704" s="137"/>
      <c r="T704" s="137"/>
      <c r="U704" s="137"/>
      <c r="V704" s="137"/>
      <c r="W704" s="137"/>
    </row>
    <row r="705" spans="1:23" x14ac:dyDescent="0.2">
      <c r="A705" s="137"/>
      <c r="B705" s="137"/>
      <c r="C705" s="137"/>
      <c r="D705" s="137"/>
      <c r="E705" s="137"/>
      <c r="F705" s="137"/>
      <c r="G705" s="137"/>
      <c r="H705" s="137"/>
      <c r="I705" s="137"/>
      <c r="J705" s="137"/>
      <c r="K705" s="137"/>
      <c r="L705" s="137"/>
      <c r="M705" s="137"/>
      <c r="N705" s="137"/>
      <c r="O705" s="137"/>
      <c r="P705" s="137"/>
      <c r="Q705" s="137"/>
      <c r="R705" s="137"/>
      <c r="S705" s="137"/>
      <c r="T705" s="137"/>
      <c r="U705" s="137"/>
      <c r="V705" s="137"/>
      <c r="W705" s="137"/>
    </row>
    <row r="706" spans="1:23" x14ac:dyDescent="0.2">
      <c r="A706" s="137"/>
      <c r="B706" s="137"/>
      <c r="C706" s="137"/>
      <c r="D706" s="137"/>
      <c r="E706" s="137"/>
      <c r="F706" s="137"/>
      <c r="G706" s="137"/>
      <c r="H706" s="137"/>
      <c r="I706" s="137"/>
      <c r="J706" s="137"/>
      <c r="K706" s="137"/>
      <c r="L706" s="137"/>
      <c r="M706" s="137"/>
      <c r="N706" s="137"/>
      <c r="O706" s="137"/>
      <c r="P706" s="137"/>
      <c r="Q706" s="137"/>
      <c r="R706" s="137"/>
      <c r="S706" s="137"/>
      <c r="T706" s="137"/>
      <c r="U706" s="137"/>
      <c r="V706" s="137"/>
      <c r="W706" s="137"/>
    </row>
    <row r="707" spans="1:23" x14ac:dyDescent="0.2">
      <c r="A707" s="137"/>
      <c r="B707" s="137"/>
      <c r="C707" s="137"/>
      <c r="D707" s="137"/>
      <c r="E707" s="137"/>
      <c r="F707" s="137"/>
      <c r="G707" s="137"/>
      <c r="H707" s="137"/>
      <c r="I707" s="137"/>
      <c r="J707" s="137"/>
      <c r="K707" s="137"/>
      <c r="L707" s="137"/>
      <c r="M707" s="137"/>
      <c r="N707" s="137"/>
      <c r="O707" s="137"/>
      <c r="P707" s="137"/>
      <c r="Q707" s="137"/>
      <c r="R707" s="137"/>
      <c r="S707" s="137"/>
      <c r="T707" s="137"/>
      <c r="U707" s="137"/>
      <c r="V707" s="137"/>
      <c r="W707" s="137"/>
    </row>
    <row r="708" spans="1:23" x14ac:dyDescent="0.2">
      <c r="A708" s="137"/>
      <c r="B708" s="137"/>
      <c r="C708" s="137"/>
      <c r="D708" s="137"/>
      <c r="E708" s="137"/>
      <c r="F708" s="137"/>
      <c r="G708" s="137"/>
      <c r="H708" s="137"/>
      <c r="I708" s="137"/>
      <c r="J708" s="137"/>
      <c r="K708" s="137"/>
      <c r="L708" s="137"/>
      <c r="M708" s="137"/>
      <c r="N708" s="137"/>
      <c r="O708" s="137"/>
      <c r="P708" s="137"/>
      <c r="Q708" s="137"/>
      <c r="R708" s="137"/>
      <c r="S708" s="137"/>
      <c r="T708" s="137"/>
      <c r="U708" s="137"/>
      <c r="V708" s="137"/>
      <c r="W708" s="137"/>
    </row>
    <row r="709" spans="1:23" x14ac:dyDescent="0.2">
      <c r="A709" s="137"/>
      <c r="B709" s="137"/>
      <c r="C709" s="137"/>
      <c r="D709" s="137"/>
      <c r="E709" s="137"/>
      <c r="F709" s="137"/>
      <c r="G709" s="137"/>
      <c r="H709" s="137"/>
      <c r="I709" s="137"/>
      <c r="J709" s="137"/>
      <c r="K709" s="137"/>
      <c r="L709" s="137"/>
      <c r="M709" s="137"/>
      <c r="N709" s="137"/>
      <c r="O709" s="137"/>
      <c r="P709" s="137"/>
      <c r="Q709" s="137"/>
      <c r="R709" s="137"/>
      <c r="S709" s="137"/>
      <c r="T709" s="137"/>
      <c r="U709" s="137"/>
      <c r="V709" s="137"/>
      <c r="W709" s="137"/>
    </row>
    <row r="710" spans="1:23" x14ac:dyDescent="0.2">
      <c r="A710" s="137"/>
      <c r="B710" s="137"/>
      <c r="C710" s="137"/>
      <c r="D710" s="137"/>
      <c r="E710" s="137"/>
      <c r="F710" s="137"/>
      <c r="G710" s="137"/>
      <c r="H710" s="137"/>
      <c r="I710" s="137"/>
      <c r="J710" s="137"/>
      <c r="K710" s="137"/>
      <c r="L710" s="137"/>
      <c r="M710" s="137"/>
      <c r="N710" s="137"/>
      <c r="O710" s="137"/>
      <c r="P710" s="137"/>
      <c r="Q710" s="137"/>
      <c r="R710" s="137"/>
      <c r="S710" s="137"/>
      <c r="T710" s="137"/>
      <c r="U710" s="137"/>
      <c r="V710" s="137"/>
      <c r="W710" s="137"/>
    </row>
    <row r="711" spans="1:23" x14ac:dyDescent="0.2">
      <c r="A711" s="137"/>
      <c r="B711" s="137"/>
      <c r="C711" s="137"/>
      <c r="D711" s="137"/>
      <c r="E711" s="137"/>
      <c r="F711" s="137"/>
      <c r="G711" s="137"/>
      <c r="H711" s="137"/>
      <c r="I711" s="137"/>
      <c r="J711" s="137"/>
      <c r="K711" s="137"/>
      <c r="L711" s="137"/>
      <c r="M711" s="137"/>
      <c r="N711" s="137"/>
      <c r="O711" s="137"/>
      <c r="P711" s="137"/>
      <c r="Q711" s="137"/>
      <c r="R711" s="137"/>
      <c r="S711" s="137"/>
      <c r="T711" s="137"/>
      <c r="U711" s="137"/>
      <c r="V711" s="137"/>
      <c r="W711" s="137"/>
    </row>
    <row r="712" spans="1:23" x14ac:dyDescent="0.2">
      <c r="A712" s="137"/>
      <c r="B712" s="137"/>
      <c r="C712" s="137"/>
      <c r="D712" s="137"/>
      <c r="E712" s="137"/>
      <c r="F712" s="137"/>
      <c r="G712" s="137"/>
      <c r="H712" s="137"/>
      <c r="I712" s="137"/>
      <c r="J712" s="137"/>
      <c r="K712" s="137"/>
      <c r="L712" s="137"/>
      <c r="M712" s="137"/>
      <c r="N712" s="137"/>
      <c r="O712" s="137"/>
      <c r="P712" s="137"/>
      <c r="Q712" s="137"/>
      <c r="R712" s="137"/>
      <c r="S712" s="137"/>
      <c r="T712" s="137"/>
      <c r="U712" s="137"/>
      <c r="V712" s="137"/>
      <c r="W712" s="137"/>
    </row>
    <row r="713" spans="1:23" x14ac:dyDescent="0.2">
      <c r="A713" s="137"/>
      <c r="B713" s="137"/>
      <c r="C713" s="137"/>
      <c r="D713" s="137"/>
      <c r="E713" s="137"/>
      <c r="F713" s="137"/>
      <c r="G713" s="137"/>
      <c r="H713" s="137"/>
      <c r="I713" s="137"/>
      <c r="J713" s="137"/>
      <c r="K713" s="137"/>
      <c r="L713" s="137"/>
      <c r="M713" s="137"/>
      <c r="N713" s="137"/>
      <c r="O713" s="137"/>
      <c r="P713" s="137"/>
      <c r="Q713" s="137"/>
      <c r="R713" s="137"/>
      <c r="S713" s="137"/>
      <c r="T713" s="137"/>
      <c r="U713" s="137"/>
      <c r="V713" s="137"/>
      <c r="W713" s="137"/>
    </row>
    <row r="714" spans="1:23" x14ac:dyDescent="0.2">
      <c r="A714" s="137"/>
      <c r="B714" s="137"/>
      <c r="C714" s="137"/>
      <c r="D714" s="137"/>
      <c r="E714" s="137"/>
      <c r="F714" s="137"/>
      <c r="G714" s="137"/>
      <c r="H714" s="137"/>
      <c r="I714" s="137"/>
      <c r="J714" s="137"/>
      <c r="K714" s="137"/>
      <c r="L714" s="137"/>
      <c r="M714" s="137"/>
      <c r="N714" s="137"/>
      <c r="O714" s="137"/>
      <c r="P714" s="137"/>
      <c r="Q714" s="137"/>
      <c r="R714" s="137"/>
      <c r="S714" s="137"/>
      <c r="T714" s="137"/>
      <c r="U714" s="137"/>
      <c r="V714" s="137"/>
      <c r="W714" s="137"/>
    </row>
    <row r="715" spans="1:23" x14ac:dyDescent="0.2">
      <c r="A715" s="137"/>
      <c r="B715" s="137"/>
      <c r="C715" s="137"/>
      <c r="D715" s="137"/>
      <c r="E715" s="137"/>
      <c r="F715" s="137"/>
      <c r="G715" s="137"/>
      <c r="H715" s="137"/>
      <c r="I715" s="137"/>
      <c r="J715" s="137"/>
      <c r="K715" s="137"/>
      <c r="L715" s="137"/>
      <c r="M715" s="137"/>
      <c r="N715" s="137"/>
      <c r="O715" s="137"/>
      <c r="P715" s="137"/>
      <c r="Q715" s="137"/>
      <c r="R715" s="137"/>
      <c r="S715" s="137"/>
      <c r="T715" s="137"/>
      <c r="U715" s="137"/>
      <c r="V715" s="137"/>
      <c r="W715" s="137"/>
    </row>
    <row r="716" spans="1:23" x14ac:dyDescent="0.2">
      <c r="A716" s="137"/>
      <c r="B716" s="137"/>
      <c r="C716" s="137"/>
      <c r="D716" s="137"/>
      <c r="E716" s="137"/>
      <c r="F716" s="137"/>
      <c r="G716" s="137"/>
      <c r="H716" s="137"/>
      <c r="I716" s="137"/>
      <c r="J716" s="137"/>
      <c r="K716" s="137"/>
      <c r="L716" s="137"/>
      <c r="M716" s="137"/>
      <c r="N716" s="137"/>
      <c r="O716" s="137"/>
      <c r="P716" s="137"/>
      <c r="Q716" s="137"/>
      <c r="R716" s="137"/>
      <c r="S716" s="137"/>
      <c r="T716" s="137"/>
      <c r="U716" s="137"/>
      <c r="V716" s="137"/>
      <c r="W716" s="137"/>
    </row>
    <row r="717" spans="1:23" x14ac:dyDescent="0.2">
      <c r="A717" s="137"/>
      <c r="B717" s="137"/>
      <c r="C717" s="137"/>
      <c r="D717" s="137"/>
      <c r="E717" s="137"/>
      <c r="F717" s="137"/>
      <c r="G717" s="137"/>
      <c r="H717" s="137"/>
      <c r="I717" s="137"/>
      <c r="J717" s="137"/>
      <c r="K717" s="137"/>
      <c r="L717" s="137"/>
      <c r="M717" s="137"/>
      <c r="N717" s="137"/>
      <c r="O717" s="137"/>
      <c r="P717" s="137"/>
      <c r="Q717" s="137"/>
      <c r="R717" s="137"/>
      <c r="S717" s="137"/>
      <c r="T717" s="137"/>
      <c r="U717" s="137"/>
      <c r="V717" s="137"/>
      <c r="W717" s="137"/>
    </row>
    <row r="718" spans="1:23" x14ac:dyDescent="0.2">
      <c r="A718" s="137"/>
      <c r="B718" s="137"/>
      <c r="C718" s="137"/>
      <c r="D718" s="137"/>
      <c r="E718" s="137"/>
      <c r="F718" s="137"/>
      <c r="G718" s="137"/>
      <c r="H718" s="137"/>
      <c r="I718" s="137"/>
      <c r="J718" s="137"/>
      <c r="K718" s="137"/>
      <c r="L718" s="137"/>
      <c r="M718" s="137"/>
      <c r="N718" s="137"/>
      <c r="O718" s="137"/>
      <c r="P718" s="137"/>
      <c r="Q718" s="137"/>
      <c r="R718" s="137"/>
      <c r="S718" s="137"/>
      <c r="T718" s="137"/>
      <c r="U718" s="137"/>
      <c r="V718" s="137"/>
      <c r="W718" s="137"/>
    </row>
    <row r="719" spans="1:23" x14ac:dyDescent="0.2">
      <c r="A719" s="137"/>
      <c r="B719" s="137"/>
      <c r="C719" s="137"/>
      <c r="D719" s="137"/>
      <c r="E719" s="137"/>
      <c r="F719" s="137"/>
      <c r="G719" s="137"/>
      <c r="H719" s="137"/>
      <c r="I719" s="137"/>
      <c r="J719" s="137"/>
      <c r="K719" s="137"/>
      <c r="L719" s="137"/>
      <c r="M719" s="137"/>
      <c r="N719" s="137"/>
      <c r="O719" s="137"/>
      <c r="P719" s="137"/>
      <c r="Q719" s="137"/>
      <c r="R719" s="137"/>
      <c r="S719" s="137"/>
      <c r="T719" s="137"/>
      <c r="U719" s="137"/>
      <c r="V719" s="137"/>
      <c r="W719" s="137"/>
    </row>
    <row r="720" spans="1:23" x14ac:dyDescent="0.2">
      <c r="A720" s="137"/>
      <c r="B720" s="137"/>
      <c r="C720" s="137"/>
      <c r="D720" s="137"/>
      <c r="E720" s="137"/>
      <c r="F720" s="137"/>
      <c r="G720" s="137"/>
      <c r="H720" s="137"/>
      <c r="I720" s="137"/>
      <c r="J720" s="137"/>
      <c r="K720" s="137"/>
      <c r="L720" s="137"/>
      <c r="M720" s="137"/>
      <c r="N720" s="137"/>
      <c r="O720" s="137"/>
      <c r="P720" s="137"/>
      <c r="Q720" s="137"/>
      <c r="R720" s="137"/>
      <c r="S720" s="137"/>
      <c r="T720" s="137"/>
      <c r="U720" s="137"/>
      <c r="V720" s="137"/>
      <c r="W720" s="137"/>
    </row>
    <row r="721" spans="1:23" x14ac:dyDescent="0.2">
      <c r="A721" s="137"/>
      <c r="B721" s="137"/>
      <c r="C721" s="137"/>
      <c r="D721" s="137"/>
      <c r="E721" s="137"/>
      <c r="F721" s="137"/>
      <c r="G721" s="137"/>
      <c r="H721" s="137"/>
      <c r="I721" s="137"/>
      <c r="J721" s="137"/>
      <c r="K721" s="137"/>
      <c r="L721" s="137"/>
      <c r="M721" s="137"/>
      <c r="N721" s="137"/>
      <c r="O721" s="137"/>
      <c r="P721" s="137"/>
      <c r="Q721" s="137"/>
      <c r="R721" s="137"/>
      <c r="S721" s="137"/>
      <c r="T721" s="137"/>
      <c r="U721" s="137"/>
      <c r="V721" s="137"/>
      <c r="W721" s="137"/>
    </row>
    <row r="722" spans="1:23" x14ac:dyDescent="0.2">
      <c r="A722" s="137"/>
      <c r="B722" s="137"/>
      <c r="C722" s="137"/>
      <c r="D722" s="137"/>
      <c r="E722" s="137"/>
      <c r="F722" s="137"/>
      <c r="G722" s="137"/>
      <c r="H722" s="137"/>
      <c r="I722" s="137"/>
      <c r="J722" s="137"/>
      <c r="K722" s="137"/>
      <c r="L722" s="137"/>
      <c r="M722" s="137"/>
      <c r="N722" s="137"/>
      <c r="O722" s="137"/>
      <c r="P722" s="137"/>
      <c r="Q722" s="137"/>
      <c r="R722" s="137"/>
      <c r="S722" s="137"/>
      <c r="T722" s="137"/>
      <c r="U722" s="137"/>
      <c r="V722" s="137"/>
      <c r="W722" s="137"/>
    </row>
    <row r="723" spans="1:23" x14ac:dyDescent="0.2">
      <c r="A723" s="137"/>
      <c r="B723" s="137"/>
      <c r="C723" s="137"/>
      <c r="D723" s="137"/>
      <c r="E723" s="137"/>
      <c r="F723" s="137"/>
      <c r="G723" s="137"/>
      <c r="H723" s="137"/>
      <c r="I723" s="137"/>
      <c r="J723" s="137"/>
      <c r="K723" s="137"/>
      <c r="L723" s="137"/>
      <c r="M723" s="137"/>
      <c r="N723" s="137"/>
      <c r="O723" s="137"/>
      <c r="P723" s="137"/>
      <c r="Q723" s="137"/>
      <c r="R723" s="137"/>
      <c r="S723" s="137"/>
      <c r="T723" s="137"/>
      <c r="U723" s="137"/>
      <c r="V723" s="137"/>
      <c r="W723" s="137"/>
    </row>
    <row r="724" spans="1:23" x14ac:dyDescent="0.2">
      <c r="A724" s="137"/>
      <c r="B724" s="137"/>
      <c r="C724" s="137"/>
      <c r="D724" s="137"/>
      <c r="E724" s="137"/>
      <c r="F724" s="137"/>
      <c r="G724" s="137"/>
      <c r="H724" s="137"/>
      <c r="I724" s="137"/>
      <c r="J724" s="137"/>
      <c r="K724" s="137"/>
      <c r="L724" s="137"/>
      <c r="M724" s="137"/>
      <c r="N724" s="137"/>
      <c r="O724" s="137"/>
      <c r="P724" s="137"/>
      <c r="Q724" s="137"/>
      <c r="R724" s="137"/>
      <c r="S724" s="137"/>
      <c r="T724" s="137"/>
      <c r="U724" s="137"/>
      <c r="V724" s="137"/>
      <c r="W724" s="137"/>
    </row>
    <row r="725" spans="1:23" x14ac:dyDescent="0.2">
      <c r="A725" s="137"/>
      <c r="B725" s="137"/>
      <c r="C725" s="137"/>
      <c r="D725" s="137"/>
      <c r="E725" s="137"/>
      <c r="F725" s="137"/>
      <c r="G725" s="137"/>
      <c r="H725" s="137"/>
      <c r="I725" s="137"/>
      <c r="J725" s="137"/>
      <c r="K725" s="137"/>
      <c r="L725" s="137"/>
      <c r="M725" s="137"/>
      <c r="N725" s="137"/>
      <c r="O725" s="137"/>
      <c r="P725" s="137"/>
      <c r="Q725" s="137"/>
      <c r="R725" s="137"/>
      <c r="S725" s="137"/>
      <c r="T725" s="137"/>
      <c r="U725" s="137"/>
      <c r="V725" s="137"/>
      <c r="W725" s="137"/>
    </row>
    <row r="726" spans="1:23" x14ac:dyDescent="0.2">
      <c r="A726" s="137"/>
      <c r="B726" s="137"/>
      <c r="C726" s="137"/>
      <c r="D726" s="137"/>
      <c r="E726" s="137"/>
      <c r="F726" s="137"/>
      <c r="G726" s="137"/>
      <c r="H726" s="137"/>
      <c r="I726" s="137"/>
      <c r="J726" s="137"/>
      <c r="K726" s="137"/>
      <c r="L726" s="137"/>
      <c r="M726" s="137"/>
      <c r="N726" s="137"/>
      <c r="O726" s="137"/>
      <c r="P726" s="137"/>
      <c r="Q726" s="137"/>
      <c r="R726" s="137"/>
      <c r="S726" s="137"/>
      <c r="T726" s="137"/>
      <c r="U726" s="137"/>
      <c r="V726" s="137"/>
      <c r="W726" s="137"/>
    </row>
    <row r="727" spans="1:23" x14ac:dyDescent="0.2">
      <c r="A727" s="137"/>
      <c r="B727" s="137"/>
      <c r="C727" s="137"/>
      <c r="D727" s="137"/>
      <c r="E727" s="137"/>
      <c r="F727" s="137"/>
      <c r="G727" s="137"/>
      <c r="H727" s="137"/>
      <c r="I727" s="137"/>
      <c r="J727" s="137"/>
      <c r="K727" s="137"/>
      <c r="L727" s="137"/>
      <c r="M727" s="137"/>
      <c r="N727" s="137"/>
      <c r="O727" s="137"/>
      <c r="P727" s="137"/>
      <c r="Q727" s="137"/>
      <c r="R727" s="137"/>
      <c r="S727" s="137"/>
      <c r="T727" s="137"/>
      <c r="U727" s="137"/>
      <c r="V727" s="137"/>
      <c r="W727" s="137"/>
    </row>
    <row r="728" spans="1:23" x14ac:dyDescent="0.2">
      <c r="A728" s="137"/>
      <c r="B728" s="137"/>
      <c r="C728" s="137"/>
      <c r="D728" s="137"/>
      <c r="E728" s="137"/>
      <c r="F728" s="137"/>
      <c r="G728" s="137"/>
      <c r="H728" s="137"/>
      <c r="I728" s="137"/>
      <c r="J728" s="137"/>
      <c r="K728" s="137"/>
      <c r="L728" s="137"/>
      <c r="M728" s="137"/>
      <c r="N728" s="137"/>
      <c r="O728" s="137"/>
      <c r="P728" s="137"/>
      <c r="Q728" s="137"/>
      <c r="R728" s="137"/>
      <c r="S728" s="137"/>
      <c r="T728" s="137"/>
      <c r="U728" s="137"/>
      <c r="V728" s="137"/>
      <c r="W728" s="137"/>
    </row>
    <row r="729" spans="1:23" x14ac:dyDescent="0.2">
      <c r="A729" s="137"/>
      <c r="B729" s="137"/>
      <c r="C729" s="137"/>
      <c r="D729" s="137"/>
      <c r="E729" s="137"/>
      <c r="F729" s="137"/>
      <c r="G729" s="137"/>
      <c r="H729" s="137"/>
      <c r="I729" s="137"/>
      <c r="J729" s="137"/>
      <c r="K729" s="137"/>
      <c r="L729" s="137"/>
      <c r="M729" s="137"/>
      <c r="N729" s="137"/>
      <c r="O729" s="137"/>
      <c r="P729" s="137"/>
      <c r="Q729" s="137"/>
      <c r="R729" s="137"/>
      <c r="S729" s="137"/>
      <c r="T729" s="137"/>
      <c r="U729" s="137"/>
      <c r="V729" s="137"/>
      <c r="W729" s="137"/>
    </row>
    <row r="730" spans="1:23" x14ac:dyDescent="0.2">
      <c r="A730" s="137"/>
      <c r="B730" s="137"/>
      <c r="C730" s="137"/>
      <c r="D730" s="137"/>
      <c r="E730" s="137"/>
      <c r="F730" s="137"/>
      <c r="G730" s="137"/>
      <c r="H730" s="137"/>
      <c r="I730" s="137"/>
      <c r="J730" s="137"/>
      <c r="K730" s="137"/>
      <c r="L730" s="137"/>
      <c r="M730" s="137"/>
      <c r="N730" s="137"/>
      <c r="O730" s="137"/>
      <c r="P730" s="137"/>
      <c r="Q730" s="137"/>
      <c r="R730" s="137"/>
      <c r="S730" s="137"/>
      <c r="T730" s="137"/>
      <c r="U730" s="137"/>
      <c r="V730" s="137"/>
      <c r="W730" s="137"/>
    </row>
    <row r="731" spans="1:23" x14ac:dyDescent="0.2">
      <c r="A731" s="137"/>
      <c r="B731" s="137"/>
      <c r="C731" s="137"/>
      <c r="D731" s="137"/>
      <c r="E731" s="137"/>
      <c r="F731" s="137"/>
      <c r="G731" s="137"/>
      <c r="H731" s="137"/>
      <c r="I731" s="137"/>
      <c r="J731" s="137"/>
      <c r="K731" s="137"/>
      <c r="L731" s="137"/>
      <c r="M731" s="137"/>
      <c r="N731" s="137"/>
      <c r="O731" s="137"/>
      <c r="P731" s="137"/>
      <c r="Q731" s="137"/>
      <c r="R731" s="137"/>
      <c r="S731" s="137"/>
      <c r="T731" s="137"/>
      <c r="U731" s="137"/>
      <c r="V731" s="137"/>
      <c r="W731" s="137"/>
    </row>
    <row r="732" spans="1:23" x14ac:dyDescent="0.2">
      <c r="A732" s="137"/>
      <c r="B732" s="137"/>
      <c r="C732" s="137"/>
      <c r="D732" s="137"/>
      <c r="E732" s="137"/>
      <c r="F732" s="137"/>
      <c r="G732" s="137"/>
      <c r="H732" s="137"/>
      <c r="I732" s="137"/>
      <c r="J732" s="137"/>
      <c r="K732" s="137"/>
      <c r="L732" s="137"/>
      <c r="M732" s="137"/>
      <c r="N732" s="137"/>
      <c r="O732" s="137"/>
      <c r="P732" s="137"/>
      <c r="Q732" s="137"/>
      <c r="R732" s="137"/>
      <c r="S732" s="137"/>
      <c r="T732" s="137"/>
      <c r="U732" s="137"/>
      <c r="V732" s="137"/>
      <c r="W732" s="137"/>
    </row>
    <row r="733" spans="1:23" x14ac:dyDescent="0.2">
      <c r="A733" s="137"/>
      <c r="B733" s="137"/>
      <c r="C733" s="137"/>
      <c r="D733" s="137"/>
      <c r="E733" s="137"/>
      <c r="F733" s="137"/>
      <c r="G733" s="137"/>
      <c r="H733" s="137"/>
      <c r="I733" s="137"/>
      <c r="J733" s="137"/>
      <c r="K733" s="137"/>
      <c r="L733" s="137"/>
      <c r="M733" s="137"/>
      <c r="N733" s="137"/>
      <c r="O733" s="137"/>
      <c r="P733" s="137"/>
      <c r="Q733" s="137"/>
      <c r="R733" s="137"/>
      <c r="S733" s="137"/>
      <c r="T733" s="137"/>
      <c r="U733" s="137"/>
      <c r="V733" s="137"/>
      <c r="W733" s="137"/>
    </row>
    <row r="734" spans="1:23" x14ac:dyDescent="0.2">
      <c r="A734" s="137"/>
      <c r="B734" s="137"/>
      <c r="C734" s="137"/>
      <c r="D734" s="137"/>
      <c r="E734" s="137"/>
      <c r="F734" s="137"/>
      <c r="G734" s="137"/>
      <c r="H734" s="137"/>
      <c r="I734" s="137"/>
      <c r="J734" s="137"/>
      <c r="K734" s="137"/>
      <c r="L734" s="137"/>
      <c r="M734" s="137"/>
      <c r="N734" s="137"/>
      <c r="O734" s="137"/>
      <c r="P734" s="137"/>
      <c r="Q734" s="137"/>
      <c r="R734" s="137"/>
      <c r="S734" s="137"/>
      <c r="T734" s="137"/>
      <c r="U734" s="137"/>
      <c r="V734" s="137"/>
      <c r="W734" s="137"/>
    </row>
    <row r="735" spans="1:23" x14ac:dyDescent="0.2">
      <c r="A735" s="137"/>
      <c r="B735" s="137"/>
      <c r="C735" s="137"/>
      <c r="D735" s="137"/>
      <c r="E735" s="137"/>
      <c r="F735" s="137"/>
      <c r="G735" s="137"/>
      <c r="H735" s="137"/>
      <c r="I735" s="137"/>
      <c r="J735" s="137"/>
      <c r="K735" s="137"/>
      <c r="L735" s="137"/>
      <c r="M735" s="137"/>
      <c r="N735" s="137"/>
      <c r="O735" s="137"/>
      <c r="P735" s="137"/>
      <c r="Q735" s="137"/>
      <c r="R735" s="137"/>
      <c r="S735" s="137"/>
      <c r="T735" s="137"/>
      <c r="U735" s="137"/>
      <c r="V735" s="137"/>
      <c r="W735" s="137"/>
    </row>
    <row r="736" spans="1:23" x14ac:dyDescent="0.2">
      <c r="A736" s="137"/>
      <c r="B736" s="137"/>
      <c r="C736" s="137"/>
      <c r="D736" s="137"/>
      <c r="E736" s="137"/>
      <c r="F736" s="137"/>
      <c r="G736" s="137"/>
      <c r="H736" s="137"/>
      <c r="I736" s="137"/>
      <c r="J736" s="137"/>
      <c r="K736" s="137"/>
      <c r="L736" s="137"/>
      <c r="M736" s="137"/>
      <c r="N736" s="137"/>
      <c r="O736" s="137"/>
      <c r="P736" s="137"/>
      <c r="Q736" s="137"/>
      <c r="R736" s="137"/>
      <c r="S736" s="137"/>
      <c r="T736" s="137"/>
      <c r="U736" s="137"/>
      <c r="V736" s="137"/>
      <c r="W736" s="137"/>
    </row>
    <row r="737" spans="1:23" x14ac:dyDescent="0.2">
      <c r="A737" s="137"/>
      <c r="B737" s="137"/>
      <c r="C737" s="137"/>
      <c r="D737" s="137"/>
      <c r="E737" s="137"/>
      <c r="F737" s="137"/>
      <c r="G737" s="137"/>
      <c r="H737" s="137"/>
      <c r="I737" s="137"/>
      <c r="J737" s="137"/>
      <c r="K737" s="137"/>
      <c r="L737" s="137"/>
      <c r="M737" s="137"/>
      <c r="N737" s="137"/>
      <c r="O737" s="137"/>
      <c r="P737" s="137"/>
      <c r="Q737" s="137"/>
      <c r="R737" s="137"/>
      <c r="S737" s="137"/>
      <c r="T737" s="137"/>
      <c r="U737" s="137"/>
      <c r="V737" s="137"/>
      <c r="W737" s="137"/>
    </row>
    <row r="738" spans="1:23" x14ac:dyDescent="0.2">
      <c r="A738" s="137"/>
      <c r="B738" s="137"/>
      <c r="C738" s="137"/>
      <c r="D738" s="137"/>
      <c r="E738" s="137"/>
      <c r="F738" s="137"/>
      <c r="G738" s="137"/>
      <c r="H738" s="137"/>
      <c r="I738" s="137"/>
      <c r="J738" s="137"/>
      <c r="K738" s="137"/>
      <c r="L738" s="137"/>
      <c r="M738" s="137"/>
      <c r="N738" s="137"/>
      <c r="O738" s="137"/>
      <c r="P738" s="137"/>
      <c r="Q738" s="137"/>
      <c r="R738" s="137"/>
      <c r="S738" s="137"/>
      <c r="T738" s="137"/>
      <c r="U738" s="137"/>
      <c r="V738" s="137"/>
      <c r="W738" s="137"/>
    </row>
    <row r="739" spans="1:23" x14ac:dyDescent="0.2">
      <c r="A739" s="137"/>
      <c r="B739" s="137"/>
      <c r="C739" s="137"/>
      <c r="D739" s="137"/>
      <c r="E739" s="137"/>
      <c r="F739" s="137"/>
      <c r="G739" s="137"/>
      <c r="H739" s="137"/>
      <c r="I739" s="137"/>
      <c r="J739" s="137"/>
      <c r="K739" s="137"/>
      <c r="L739" s="137"/>
      <c r="M739" s="137"/>
      <c r="N739" s="137"/>
      <c r="O739" s="137"/>
      <c r="P739" s="137"/>
      <c r="Q739" s="137"/>
      <c r="R739" s="137"/>
      <c r="S739" s="137"/>
      <c r="T739" s="137"/>
      <c r="U739" s="137"/>
      <c r="V739" s="137"/>
      <c r="W739" s="137"/>
    </row>
    <row r="740" spans="1:23" x14ac:dyDescent="0.2">
      <c r="A740" s="137"/>
      <c r="B740" s="137"/>
      <c r="C740" s="137"/>
      <c r="D740" s="137"/>
      <c r="E740" s="137"/>
      <c r="F740" s="137"/>
      <c r="G740" s="137"/>
      <c r="H740" s="137"/>
      <c r="I740" s="137"/>
      <c r="J740" s="137"/>
      <c r="K740" s="137"/>
      <c r="L740" s="137"/>
      <c r="M740" s="137"/>
      <c r="N740" s="137"/>
      <c r="O740" s="137"/>
      <c r="P740" s="137"/>
      <c r="Q740" s="137"/>
      <c r="R740" s="137"/>
      <c r="S740" s="137"/>
      <c r="T740" s="137"/>
      <c r="U740" s="137"/>
      <c r="V740" s="137"/>
      <c r="W740" s="137"/>
    </row>
    <row r="741" spans="1:23" x14ac:dyDescent="0.2">
      <c r="A741" s="137"/>
      <c r="B741" s="137"/>
      <c r="C741" s="137"/>
      <c r="D741" s="137"/>
      <c r="E741" s="137"/>
      <c r="F741" s="137"/>
      <c r="G741" s="137"/>
      <c r="H741" s="137"/>
      <c r="I741" s="137"/>
      <c r="J741" s="137"/>
      <c r="K741" s="137"/>
      <c r="L741" s="137"/>
      <c r="M741" s="137"/>
      <c r="N741" s="137"/>
      <c r="O741" s="137"/>
      <c r="P741" s="137"/>
      <c r="Q741" s="137"/>
      <c r="R741" s="137"/>
      <c r="S741" s="137"/>
      <c r="T741" s="137"/>
      <c r="U741" s="137"/>
      <c r="V741" s="137"/>
      <c r="W741" s="137"/>
    </row>
    <row r="742" spans="1:23" x14ac:dyDescent="0.2">
      <c r="A742" s="137"/>
      <c r="B742" s="137"/>
      <c r="C742" s="137"/>
      <c r="D742" s="137"/>
      <c r="E742" s="137"/>
      <c r="F742" s="137"/>
      <c r="G742" s="137"/>
      <c r="H742" s="137"/>
      <c r="I742" s="137"/>
      <c r="J742" s="137"/>
      <c r="K742" s="137"/>
      <c r="L742" s="137"/>
      <c r="M742" s="137"/>
      <c r="N742" s="137"/>
      <c r="O742" s="137"/>
      <c r="P742" s="137"/>
      <c r="Q742" s="137"/>
      <c r="R742" s="137"/>
      <c r="S742" s="137"/>
      <c r="T742" s="137"/>
      <c r="U742" s="137"/>
      <c r="V742" s="137"/>
      <c r="W742" s="137"/>
    </row>
    <row r="743" spans="1:23" x14ac:dyDescent="0.2">
      <c r="A743" s="137"/>
      <c r="B743" s="137"/>
      <c r="C743" s="137"/>
      <c r="D743" s="137"/>
      <c r="E743" s="137"/>
      <c r="F743" s="137"/>
      <c r="G743" s="137"/>
      <c r="H743" s="137"/>
      <c r="I743" s="137"/>
      <c r="J743" s="137"/>
      <c r="K743" s="137"/>
      <c r="L743" s="137"/>
      <c r="M743" s="137"/>
      <c r="N743" s="137"/>
      <c r="O743" s="137"/>
      <c r="P743" s="137"/>
      <c r="Q743" s="137"/>
      <c r="R743" s="137"/>
      <c r="S743" s="137"/>
      <c r="T743" s="137"/>
      <c r="U743" s="137"/>
      <c r="V743" s="137"/>
      <c r="W743" s="137"/>
    </row>
    <row r="744" spans="1:23" x14ac:dyDescent="0.2">
      <c r="A744" s="137"/>
      <c r="B744" s="137"/>
      <c r="C744" s="137"/>
      <c r="D744" s="137"/>
      <c r="E744" s="137"/>
      <c r="F744" s="137"/>
      <c r="G744" s="137"/>
      <c r="H744" s="137"/>
      <c r="I744" s="137"/>
      <c r="J744" s="137"/>
      <c r="K744" s="137"/>
      <c r="L744" s="137"/>
      <c r="M744" s="137"/>
      <c r="N744" s="137"/>
      <c r="O744" s="137"/>
      <c r="P744" s="137"/>
      <c r="Q744" s="137"/>
      <c r="R744" s="137"/>
      <c r="S744" s="137"/>
      <c r="T744" s="137"/>
      <c r="U744" s="137"/>
      <c r="V744" s="137"/>
      <c r="W744" s="137"/>
    </row>
    <row r="745" spans="1:23" x14ac:dyDescent="0.2">
      <c r="A745" s="137"/>
      <c r="B745" s="137"/>
      <c r="C745" s="137"/>
      <c r="D745" s="137"/>
      <c r="E745" s="137"/>
      <c r="F745" s="137"/>
      <c r="G745" s="137"/>
      <c r="H745" s="137"/>
      <c r="I745" s="137"/>
      <c r="J745" s="137"/>
      <c r="K745" s="137"/>
      <c r="L745" s="137"/>
      <c r="M745" s="137"/>
      <c r="N745" s="137"/>
      <c r="O745" s="137"/>
      <c r="P745" s="137"/>
      <c r="Q745" s="137"/>
      <c r="R745" s="137"/>
      <c r="S745" s="137"/>
      <c r="T745" s="137"/>
      <c r="U745" s="137"/>
      <c r="V745" s="137"/>
      <c r="W745" s="137"/>
    </row>
    <row r="746" spans="1:23" x14ac:dyDescent="0.2">
      <c r="A746" s="137"/>
      <c r="B746" s="137"/>
      <c r="C746" s="137"/>
      <c r="D746" s="137"/>
      <c r="E746" s="137"/>
      <c r="F746" s="137"/>
      <c r="G746" s="137"/>
      <c r="H746" s="137"/>
      <c r="I746" s="137"/>
      <c r="J746" s="137"/>
      <c r="K746" s="137"/>
      <c r="L746" s="137"/>
      <c r="M746" s="137"/>
      <c r="N746" s="137"/>
      <c r="O746" s="137"/>
      <c r="P746" s="137"/>
      <c r="Q746" s="137"/>
      <c r="R746" s="137"/>
      <c r="S746" s="137"/>
      <c r="T746" s="137"/>
      <c r="U746" s="137"/>
      <c r="V746" s="137"/>
      <c r="W746" s="137"/>
    </row>
    <row r="747" spans="1:23" x14ac:dyDescent="0.2">
      <c r="A747" s="137"/>
      <c r="B747" s="137"/>
      <c r="C747" s="137"/>
      <c r="D747" s="137"/>
      <c r="E747" s="137"/>
      <c r="F747" s="137"/>
      <c r="G747" s="137"/>
      <c r="H747" s="137"/>
      <c r="I747" s="137"/>
      <c r="J747" s="137"/>
      <c r="K747" s="137"/>
      <c r="L747" s="137"/>
      <c r="M747" s="137"/>
      <c r="N747" s="137"/>
      <c r="O747" s="137"/>
      <c r="P747" s="137"/>
      <c r="Q747" s="137"/>
      <c r="R747" s="137"/>
      <c r="S747" s="137"/>
      <c r="T747" s="137"/>
      <c r="U747" s="137"/>
      <c r="V747" s="137"/>
      <c r="W747" s="137"/>
    </row>
    <row r="748" spans="1:23" x14ac:dyDescent="0.2">
      <c r="A748" s="137"/>
      <c r="B748" s="137"/>
      <c r="C748" s="137"/>
      <c r="D748" s="137"/>
      <c r="E748" s="137"/>
      <c r="F748" s="137"/>
      <c r="G748" s="137"/>
      <c r="H748" s="137"/>
      <c r="I748" s="137"/>
      <c r="J748" s="137"/>
      <c r="K748" s="137"/>
      <c r="L748" s="137"/>
      <c r="M748" s="137"/>
      <c r="N748" s="137"/>
      <c r="O748" s="137"/>
      <c r="P748" s="137"/>
      <c r="Q748" s="137"/>
      <c r="R748" s="137"/>
      <c r="S748" s="137"/>
      <c r="T748" s="137"/>
      <c r="U748" s="137"/>
      <c r="V748" s="137"/>
      <c r="W748" s="137"/>
    </row>
    <row r="749" spans="1:23" x14ac:dyDescent="0.2">
      <c r="A749" s="137"/>
      <c r="B749" s="137"/>
      <c r="C749" s="137"/>
      <c r="D749" s="137"/>
      <c r="E749" s="137"/>
      <c r="F749" s="137"/>
      <c r="G749" s="137"/>
      <c r="H749" s="137"/>
      <c r="I749" s="137"/>
      <c r="J749" s="137"/>
      <c r="K749" s="137"/>
      <c r="L749" s="137"/>
      <c r="M749" s="137"/>
      <c r="N749" s="137"/>
      <c r="O749" s="137"/>
      <c r="P749" s="137"/>
      <c r="Q749" s="137"/>
      <c r="R749" s="137"/>
      <c r="S749" s="137"/>
      <c r="T749" s="137"/>
      <c r="U749" s="137"/>
      <c r="V749" s="137"/>
      <c r="W749" s="137"/>
    </row>
    <row r="750" spans="1:23" x14ac:dyDescent="0.2">
      <c r="A750" s="137"/>
      <c r="B750" s="137"/>
      <c r="C750" s="137"/>
      <c r="D750" s="137"/>
      <c r="E750" s="137"/>
      <c r="F750" s="137"/>
      <c r="G750" s="137"/>
      <c r="H750" s="137"/>
      <c r="I750" s="137"/>
      <c r="J750" s="137"/>
      <c r="K750" s="137"/>
      <c r="L750" s="137"/>
      <c r="M750" s="137"/>
      <c r="N750" s="137"/>
      <c r="O750" s="137"/>
      <c r="P750" s="137"/>
      <c r="Q750" s="137"/>
      <c r="R750" s="137"/>
      <c r="S750" s="137"/>
      <c r="T750" s="137"/>
      <c r="U750" s="137"/>
      <c r="V750" s="137"/>
      <c r="W750" s="137"/>
    </row>
    <row r="751" spans="1:23" x14ac:dyDescent="0.2">
      <c r="A751" s="137"/>
      <c r="B751" s="137"/>
      <c r="C751" s="137"/>
      <c r="D751" s="137"/>
      <c r="E751" s="137"/>
      <c r="F751" s="137"/>
      <c r="G751" s="137"/>
      <c r="H751" s="137"/>
      <c r="I751" s="137"/>
      <c r="J751" s="137"/>
      <c r="K751" s="137"/>
      <c r="L751" s="137"/>
      <c r="M751" s="137"/>
      <c r="N751" s="137"/>
      <c r="O751" s="137"/>
      <c r="P751" s="137"/>
      <c r="Q751" s="137"/>
      <c r="R751" s="137"/>
      <c r="S751" s="137"/>
      <c r="T751" s="137"/>
      <c r="U751" s="137"/>
      <c r="V751" s="137"/>
      <c r="W751" s="137"/>
    </row>
    <row r="752" spans="1:23" x14ac:dyDescent="0.2">
      <c r="A752" s="137"/>
      <c r="B752" s="137"/>
      <c r="C752" s="137"/>
      <c r="D752" s="137"/>
      <c r="E752" s="137"/>
      <c r="F752" s="137"/>
      <c r="G752" s="137"/>
      <c r="H752" s="137"/>
      <c r="I752" s="137"/>
      <c r="J752" s="137"/>
      <c r="K752" s="137"/>
      <c r="L752" s="137"/>
      <c r="M752" s="137"/>
      <c r="N752" s="137"/>
      <c r="O752" s="137"/>
      <c r="P752" s="137"/>
      <c r="Q752" s="137"/>
      <c r="R752" s="137"/>
      <c r="S752" s="137"/>
      <c r="T752" s="137"/>
      <c r="U752" s="137"/>
      <c r="V752" s="137"/>
      <c r="W752" s="137"/>
    </row>
    <row r="753" spans="1:23" x14ac:dyDescent="0.2">
      <c r="A753" s="137"/>
      <c r="B753" s="137"/>
      <c r="C753" s="137"/>
      <c r="D753" s="137"/>
      <c r="E753" s="137"/>
      <c r="F753" s="137"/>
      <c r="G753" s="137"/>
      <c r="H753" s="137"/>
      <c r="I753" s="137"/>
      <c r="J753" s="137"/>
      <c r="K753" s="137"/>
      <c r="L753" s="137"/>
      <c r="M753" s="137"/>
      <c r="N753" s="137"/>
      <c r="O753" s="137"/>
      <c r="P753" s="137"/>
      <c r="Q753" s="137"/>
      <c r="R753" s="137"/>
      <c r="S753" s="137"/>
      <c r="T753" s="137"/>
      <c r="U753" s="137"/>
      <c r="V753" s="137"/>
      <c r="W753" s="137"/>
    </row>
    <row r="754" spans="1:23" x14ac:dyDescent="0.2">
      <c r="A754" s="137"/>
      <c r="B754" s="137"/>
      <c r="C754" s="137"/>
      <c r="D754" s="137"/>
      <c r="E754" s="137"/>
      <c r="F754" s="137"/>
      <c r="G754" s="137"/>
      <c r="H754" s="137"/>
      <c r="I754" s="137"/>
      <c r="J754" s="137"/>
      <c r="K754" s="137"/>
      <c r="L754" s="137"/>
      <c r="M754" s="137"/>
      <c r="N754" s="137"/>
      <c r="O754" s="137"/>
      <c r="P754" s="137"/>
      <c r="Q754" s="137"/>
      <c r="R754" s="137"/>
      <c r="S754" s="137"/>
      <c r="T754" s="137"/>
      <c r="U754" s="137"/>
      <c r="V754" s="137"/>
      <c r="W754" s="137"/>
    </row>
    <row r="755" spans="1:23" x14ac:dyDescent="0.2">
      <c r="A755" s="137"/>
      <c r="B755" s="137"/>
      <c r="C755" s="137"/>
      <c r="D755" s="137"/>
      <c r="E755" s="137"/>
      <c r="F755" s="137"/>
      <c r="G755" s="137"/>
      <c r="H755" s="137"/>
      <c r="I755" s="137"/>
      <c r="J755" s="137"/>
      <c r="K755" s="137"/>
      <c r="L755" s="137"/>
      <c r="M755" s="137"/>
      <c r="N755" s="137"/>
      <c r="O755" s="137"/>
      <c r="P755" s="137"/>
      <c r="Q755" s="137"/>
      <c r="R755" s="137"/>
      <c r="S755" s="137"/>
      <c r="T755" s="137"/>
      <c r="U755" s="137"/>
      <c r="V755" s="137"/>
      <c r="W755" s="137"/>
    </row>
    <row r="756" spans="1:23" x14ac:dyDescent="0.2">
      <c r="A756" s="137"/>
      <c r="B756" s="137"/>
      <c r="C756" s="137"/>
      <c r="D756" s="137"/>
      <c r="E756" s="137"/>
      <c r="F756" s="137"/>
      <c r="G756" s="137"/>
      <c r="H756" s="137"/>
      <c r="I756" s="137"/>
      <c r="J756" s="137"/>
      <c r="K756" s="137"/>
      <c r="L756" s="137"/>
      <c r="M756" s="137"/>
      <c r="N756" s="137"/>
      <c r="O756" s="137"/>
      <c r="P756" s="137"/>
      <c r="Q756" s="137"/>
      <c r="R756" s="137"/>
      <c r="S756" s="137"/>
      <c r="T756" s="137"/>
      <c r="U756" s="137"/>
      <c r="V756" s="137"/>
      <c r="W756" s="137"/>
    </row>
    <row r="757" spans="1:23" x14ac:dyDescent="0.2">
      <c r="A757" s="137"/>
      <c r="B757" s="137"/>
      <c r="C757" s="137"/>
      <c r="D757" s="137"/>
      <c r="E757" s="137"/>
      <c r="F757" s="137"/>
      <c r="G757" s="137"/>
      <c r="H757" s="137"/>
      <c r="I757" s="137"/>
      <c r="J757" s="137"/>
      <c r="K757" s="137"/>
      <c r="L757" s="137"/>
      <c r="M757" s="137"/>
      <c r="N757" s="137"/>
      <c r="O757" s="137"/>
      <c r="P757" s="137"/>
      <c r="Q757" s="137"/>
      <c r="R757" s="137"/>
      <c r="S757" s="137"/>
      <c r="T757" s="137"/>
      <c r="U757" s="137"/>
      <c r="V757" s="137"/>
      <c r="W757" s="137"/>
    </row>
    <row r="758" spans="1:23" x14ac:dyDescent="0.2">
      <c r="A758" s="137"/>
      <c r="B758" s="137"/>
      <c r="C758" s="137"/>
      <c r="D758" s="137"/>
      <c r="E758" s="137"/>
      <c r="F758" s="137"/>
      <c r="G758" s="137"/>
      <c r="H758" s="137"/>
      <c r="I758" s="137"/>
      <c r="J758" s="137"/>
      <c r="K758" s="137"/>
      <c r="L758" s="137"/>
      <c r="M758" s="137"/>
      <c r="N758" s="137"/>
      <c r="O758" s="137"/>
      <c r="P758" s="137"/>
      <c r="Q758" s="137"/>
      <c r="R758" s="137"/>
      <c r="S758" s="137"/>
      <c r="T758" s="137"/>
      <c r="U758" s="137"/>
      <c r="V758" s="137"/>
      <c r="W758" s="137"/>
    </row>
    <row r="759" spans="1:23" x14ac:dyDescent="0.2">
      <c r="A759" s="137"/>
      <c r="B759" s="137"/>
      <c r="C759" s="137"/>
      <c r="D759" s="137"/>
      <c r="E759" s="137"/>
      <c r="F759" s="137"/>
      <c r="G759" s="137"/>
      <c r="H759" s="137"/>
      <c r="I759" s="137"/>
      <c r="J759" s="137"/>
      <c r="K759" s="137"/>
      <c r="L759" s="137"/>
      <c r="M759" s="137"/>
      <c r="N759" s="137"/>
      <c r="O759" s="137"/>
      <c r="P759" s="137"/>
      <c r="Q759" s="137"/>
      <c r="R759" s="137"/>
      <c r="S759" s="137"/>
      <c r="T759" s="137"/>
      <c r="U759" s="137"/>
      <c r="V759" s="137"/>
      <c r="W759" s="137"/>
    </row>
    <row r="760" spans="1:23" x14ac:dyDescent="0.2">
      <c r="A760" s="137"/>
      <c r="B760" s="137"/>
      <c r="C760" s="137"/>
      <c r="D760" s="137"/>
      <c r="E760" s="137"/>
      <c r="F760" s="137"/>
      <c r="G760" s="137"/>
      <c r="H760" s="137"/>
      <c r="I760" s="137"/>
      <c r="J760" s="137"/>
      <c r="K760" s="137"/>
      <c r="L760" s="137"/>
      <c r="M760" s="137"/>
      <c r="N760" s="137"/>
      <c r="O760" s="137"/>
      <c r="P760" s="137"/>
      <c r="Q760" s="137"/>
      <c r="R760" s="137"/>
      <c r="S760" s="137"/>
      <c r="T760" s="137"/>
      <c r="U760" s="137"/>
      <c r="V760" s="137"/>
      <c r="W760" s="137"/>
    </row>
    <row r="761" spans="1:23" x14ac:dyDescent="0.2">
      <c r="A761" s="137"/>
      <c r="B761" s="137"/>
      <c r="C761" s="137"/>
      <c r="D761" s="137"/>
      <c r="E761" s="137"/>
      <c r="F761" s="137"/>
      <c r="G761" s="137"/>
      <c r="H761" s="137"/>
      <c r="I761" s="137"/>
      <c r="J761" s="137"/>
      <c r="K761" s="137"/>
      <c r="L761" s="137"/>
      <c r="M761" s="137"/>
      <c r="N761" s="137"/>
      <c r="O761" s="137"/>
      <c r="P761" s="137"/>
      <c r="Q761" s="137"/>
      <c r="R761" s="137"/>
      <c r="S761" s="137"/>
      <c r="T761" s="137"/>
      <c r="U761" s="137"/>
      <c r="V761" s="137"/>
      <c r="W761" s="137"/>
    </row>
    <row r="762" spans="1:23" x14ac:dyDescent="0.2">
      <c r="A762" s="137"/>
      <c r="B762" s="137"/>
      <c r="C762" s="137"/>
      <c r="D762" s="137"/>
      <c r="E762" s="137"/>
      <c r="F762" s="137"/>
      <c r="G762" s="137"/>
      <c r="H762" s="137"/>
      <c r="I762" s="137"/>
      <c r="J762" s="137"/>
      <c r="K762" s="137"/>
      <c r="L762" s="137"/>
      <c r="M762" s="137"/>
      <c r="N762" s="137"/>
      <c r="O762" s="137"/>
      <c r="P762" s="137"/>
      <c r="Q762" s="137"/>
      <c r="R762" s="137"/>
      <c r="S762" s="137"/>
      <c r="T762" s="137"/>
      <c r="U762" s="137"/>
      <c r="V762" s="137"/>
      <c r="W762" s="137"/>
    </row>
    <row r="763" spans="1:23" x14ac:dyDescent="0.2">
      <c r="A763" s="137"/>
      <c r="B763" s="137"/>
      <c r="C763" s="137"/>
      <c r="D763" s="137"/>
      <c r="E763" s="137"/>
      <c r="F763" s="137"/>
      <c r="G763" s="137"/>
      <c r="H763" s="137"/>
      <c r="I763" s="137"/>
      <c r="J763" s="137"/>
      <c r="K763" s="137"/>
      <c r="L763" s="137"/>
      <c r="M763" s="137"/>
      <c r="N763" s="137"/>
      <c r="O763" s="137"/>
      <c r="P763" s="137"/>
      <c r="Q763" s="137"/>
      <c r="R763" s="137"/>
      <c r="S763" s="137"/>
      <c r="T763" s="137"/>
      <c r="U763" s="137"/>
      <c r="V763" s="137"/>
      <c r="W763" s="137"/>
    </row>
    <row r="764" spans="1:23" x14ac:dyDescent="0.2">
      <c r="A764" s="137"/>
      <c r="B764" s="137"/>
      <c r="C764" s="137"/>
      <c r="D764" s="137"/>
      <c r="E764" s="137"/>
      <c r="F764" s="137"/>
      <c r="G764" s="137"/>
      <c r="H764" s="137"/>
      <c r="I764" s="137"/>
      <c r="J764" s="137"/>
      <c r="K764" s="137"/>
      <c r="L764" s="137"/>
      <c r="M764" s="137"/>
      <c r="N764" s="137"/>
      <c r="O764" s="137"/>
      <c r="P764" s="137"/>
      <c r="Q764" s="137"/>
      <c r="R764" s="137"/>
      <c r="S764" s="137"/>
      <c r="T764" s="137"/>
      <c r="U764" s="137"/>
      <c r="V764" s="137"/>
      <c r="W764" s="137"/>
    </row>
    <row r="765" spans="1:23" x14ac:dyDescent="0.2">
      <c r="A765" s="137"/>
      <c r="B765" s="137"/>
      <c r="C765" s="137"/>
      <c r="D765" s="137"/>
      <c r="E765" s="137"/>
      <c r="F765" s="137"/>
      <c r="G765" s="137"/>
      <c r="H765" s="137"/>
      <c r="I765" s="137"/>
      <c r="J765" s="137"/>
      <c r="K765" s="137"/>
      <c r="L765" s="137"/>
      <c r="M765" s="137"/>
      <c r="N765" s="137"/>
      <c r="O765" s="137"/>
      <c r="P765" s="137"/>
      <c r="Q765" s="137"/>
      <c r="R765" s="137"/>
      <c r="S765" s="137"/>
      <c r="T765" s="137"/>
      <c r="U765" s="137"/>
      <c r="V765" s="137"/>
      <c r="W765" s="137"/>
    </row>
    <row r="766" spans="1:23" x14ac:dyDescent="0.2">
      <c r="A766" s="137"/>
      <c r="B766" s="137"/>
      <c r="C766" s="137"/>
      <c r="D766" s="137"/>
      <c r="E766" s="137"/>
      <c r="F766" s="137"/>
      <c r="G766" s="137"/>
      <c r="H766" s="137"/>
      <c r="I766" s="137"/>
      <c r="J766" s="137"/>
      <c r="K766" s="137"/>
      <c r="L766" s="137"/>
      <c r="M766" s="137"/>
      <c r="N766" s="137"/>
      <c r="O766" s="137"/>
      <c r="P766" s="137"/>
      <c r="Q766" s="137"/>
      <c r="R766" s="137"/>
      <c r="S766" s="137"/>
      <c r="T766" s="137"/>
      <c r="U766" s="137"/>
      <c r="V766" s="137"/>
      <c r="W766" s="137"/>
    </row>
    <row r="767" spans="1:23" x14ac:dyDescent="0.2">
      <c r="A767" s="137"/>
      <c r="B767" s="137"/>
      <c r="C767" s="137"/>
      <c r="D767" s="137"/>
      <c r="E767" s="137"/>
      <c r="F767" s="137"/>
      <c r="G767" s="137"/>
      <c r="H767" s="137"/>
      <c r="I767" s="137"/>
      <c r="J767" s="137"/>
      <c r="K767" s="137"/>
      <c r="L767" s="137"/>
      <c r="M767" s="137"/>
      <c r="N767" s="137"/>
      <c r="O767" s="137"/>
      <c r="P767" s="137"/>
      <c r="Q767" s="137"/>
      <c r="R767" s="137"/>
      <c r="S767" s="137"/>
      <c r="T767" s="137"/>
      <c r="U767" s="137"/>
      <c r="V767" s="137"/>
      <c r="W767" s="137"/>
    </row>
    <row r="768" spans="1:23" x14ac:dyDescent="0.2">
      <c r="A768" s="137"/>
      <c r="B768" s="137"/>
      <c r="C768" s="137"/>
      <c r="D768" s="137"/>
      <c r="E768" s="137"/>
      <c r="F768" s="137"/>
      <c r="G768" s="137"/>
      <c r="H768" s="137"/>
      <c r="I768" s="137"/>
      <c r="J768" s="137"/>
      <c r="K768" s="137"/>
      <c r="L768" s="137"/>
      <c r="M768" s="137"/>
      <c r="N768" s="137"/>
      <c r="O768" s="137"/>
      <c r="P768" s="137"/>
      <c r="Q768" s="137"/>
      <c r="R768" s="137"/>
      <c r="S768" s="137"/>
      <c r="T768" s="137"/>
      <c r="U768" s="137"/>
      <c r="V768" s="137"/>
      <c r="W768" s="137"/>
    </row>
    <row r="769" spans="1:23" x14ac:dyDescent="0.2">
      <c r="A769" s="137"/>
      <c r="B769" s="137"/>
      <c r="C769" s="137"/>
      <c r="D769" s="137"/>
      <c r="E769" s="137"/>
      <c r="F769" s="137"/>
      <c r="G769" s="137"/>
      <c r="H769" s="137"/>
      <c r="I769" s="137"/>
      <c r="J769" s="137"/>
      <c r="K769" s="137"/>
      <c r="L769" s="137"/>
      <c r="M769" s="137"/>
      <c r="N769" s="137"/>
      <c r="O769" s="137"/>
      <c r="P769" s="137"/>
      <c r="Q769" s="137"/>
      <c r="R769" s="137"/>
      <c r="S769" s="137"/>
      <c r="T769" s="137"/>
      <c r="U769" s="137"/>
      <c r="V769" s="137"/>
      <c r="W769" s="137"/>
    </row>
    <row r="770" spans="1:23" x14ac:dyDescent="0.2">
      <c r="A770" s="137"/>
      <c r="B770" s="137"/>
      <c r="C770" s="137"/>
      <c r="D770" s="137"/>
      <c r="E770" s="137"/>
      <c r="F770" s="137"/>
      <c r="G770" s="137"/>
      <c r="H770" s="137"/>
      <c r="I770" s="137"/>
      <c r="J770" s="137"/>
      <c r="K770" s="137"/>
      <c r="L770" s="137"/>
      <c r="M770" s="137"/>
      <c r="N770" s="137"/>
      <c r="O770" s="137"/>
      <c r="P770" s="137"/>
      <c r="Q770" s="137"/>
      <c r="R770" s="137"/>
      <c r="S770" s="137"/>
      <c r="T770" s="137"/>
      <c r="U770" s="137"/>
      <c r="V770" s="137"/>
      <c r="W770" s="137"/>
    </row>
    <row r="771" spans="1:23" x14ac:dyDescent="0.2">
      <c r="A771" s="137"/>
      <c r="B771" s="137"/>
      <c r="C771" s="137"/>
      <c r="D771" s="137"/>
      <c r="E771" s="137"/>
      <c r="F771" s="137"/>
      <c r="G771" s="137"/>
      <c r="H771" s="137"/>
      <c r="I771" s="137"/>
      <c r="J771" s="137"/>
      <c r="K771" s="137"/>
      <c r="L771" s="137"/>
      <c r="M771" s="137"/>
      <c r="N771" s="137"/>
      <c r="O771" s="137"/>
      <c r="P771" s="137"/>
      <c r="Q771" s="137"/>
      <c r="R771" s="137"/>
      <c r="S771" s="137"/>
      <c r="T771" s="137"/>
      <c r="U771" s="137"/>
      <c r="V771" s="137"/>
      <c r="W771" s="137"/>
    </row>
    <row r="772" spans="1:23" x14ac:dyDescent="0.2">
      <c r="A772" s="137"/>
      <c r="B772" s="137"/>
      <c r="C772" s="137"/>
      <c r="D772" s="137"/>
      <c r="E772" s="137"/>
      <c r="F772" s="137"/>
      <c r="G772" s="137"/>
      <c r="H772" s="137"/>
      <c r="I772" s="137"/>
      <c r="J772" s="137"/>
      <c r="K772" s="137"/>
      <c r="L772" s="137"/>
      <c r="M772" s="137"/>
      <c r="N772" s="137"/>
      <c r="O772" s="137"/>
      <c r="P772" s="137"/>
      <c r="Q772" s="137"/>
      <c r="R772" s="137"/>
      <c r="S772" s="137"/>
      <c r="T772" s="137"/>
      <c r="U772" s="137"/>
      <c r="V772" s="137"/>
      <c r="W772" s="137"/>
    </row>
    <row r="773" spans="1:23" x14ac:dyDescent="0.2">
      <c r="A773" s="137"/>
      <c r="B773" s="137"/>
      <c r="C773" s="137"/>
      <c r="D773" s="137"/>
      <c r="E773" s="137"/>
      <c r="F773" s="137"/>
      <c r="G773" s="137"/>
      <c r="H773" s="137"/>
      <c r="I773" s="137"/>
      <c r="J773" s="137"/>
      <c r="K773" s="137"/>
      <c r="L773" s="137"/>
      <c r="M773" s="137"/>
      <c r="N773" s="137"/>
      <c r="O773" s="137"/>
      <c r="P773" s="137"/>
      <c r="Q773" s="137"/>
      <c r="R773" s="137"/>
      <c r="S773" s="137"/>
      <c r="T773" s="137"/>
      <c r="U773" s="137"/>
      <c r="V773" s="137"/>
      <c r="W773" s="137"/>
    </row>
    <row r="774" spans="1:23" x14ac:dyDescent="0.2">
      <c r="A774" s="137"/>
      <c r="B774" s="137"/>
      <c r="C774" s="137"/>
      <c r="D774" s="137"/>
      <c r="E774" s="137"/>
      <c r="F774" s="137"/>
      <c r="G774" s="137"/>
      <c r="H774" s="137"/>
      <c r="I774" s="137"/>
      <c r="J774" s="137"/>
      <c r="K774" s="137"/>
      <c r="L774" s="137"/>
      <c r="M774" s="137"/>
      <c r="N774" s="137"/>
      <c r="O774" s="137"/>
      <c r="P774" s="137"/>
      <c r="Q774" s="137"/>
      <c r="R774" s="137"/>
      <c r="S774" s="137"/>
      <c r="T774" s="137"/>
      <c r="U774" s="137"/>
      <c r="V774" s="137"/>
      <c r="W774" s="137"/>
    </row>
    <row r="775" spans="1:23" x14ac:dyDescent="0.2">
      <c r="A775" s="137"/>
      <c r="B775" s="137"/>
      <c r="C775" s="137"/>
      <c r="D775" s="137"/>
      <c r="E775" s="137"/>
      <c r="F775" s="137"/>
      <c r="G775" s="137"/>
      <c r="H775" s="137"/>
      <c r="I775" s="137"/>
      <c r="J775" s="137"/>
      <c r="K775" s="137"/>
      <c r="L775" s="137"/>
      <c r="M775" s="137"/>
      <c r="N775" s="137"/>
      <c r="O775" s="137"/>
      <c r="P775" s="137"/>
      <c r="Q775" s="137"/>
      <c r="R775" s="137"/>
      <c r="S775" s="137"/>
      <c r="T775" s="137"/>
      <c r="U775" s="137"/>
      <c r="V775" s="137"/>
      <c r="W775" s="137"/>
    </row>
    <row r="776" spans="1:23" x14ac:dyDescent="0.2">
      <c r="A776" s="137"/>
      <c r="B776" s="137"/>
      <c r="C776" s="137"/>
      <c r="D776" s="137"/>
      <c r="E776" s="137"/>
      <c r="F776" s="137"/>
      <c r="G776" s="137"/>
      <c r="H776" s="137"/>
      <c r="I776" s="137"/>
      <c r="J776" s="137"/>
      <c r="K776" s="137"/>
      <c r="L776" s="137"/>
      <c r="M776" s="137"/>
      <c r="N776" s="137"/>
      <c r="O776" s="137"/>
      <c r="P776" s="137"/>
      <c r="Q776" s="137"/>
      <c r="R776" s="137"/>
      <c r="S776" s="137"/>
      <c r="T776" s="137"/>
      <c r="U776" s="137"/>
      <c r="V776" s="137"/>
      <c r="W776" s="137"/>
    </row>
    <row r="777" spans="1:23" x14ac:dyDescent="0.2">
      <c r="A777" s="137"/>
      <c r="B777" s="137"/>
      <c r="C777" s="137"/>
      <c r="D777" s="137"/>
      <c r="E777" s="137"/>
      <c r="F777" s="137"/>
      <c r="G777" s="137"/>
      <c r="H777" s="137"/>
      <c r="I777" s="137"/>
      <c r="J777" s="137"/>
      <c r="K777" s="137"/>
      <c r="L777" s="137"/>
      <c r="M777" s="137"/>
      <c r="N777" s="137"/>
      <c r="O777" s="137"/>
      <c r="P777" s="137"/>
      <c r="Q777" s="137"/>
      <c r="R777" s="137"/>
      <c r="S777" s="137"/>
      <c r="T777" s="137"/>
      <c r="U777" s="137"/>
      <c r="V777" s="137"/>
      <c r="W777" s="137"/>
    </row>
    <row r="778" spans="1:23" x14ac:dyDescent="0.2">
      <c r="A778" s="137"/>
      <c r="B778" s="137"/>
      <c r="C778" s="137"/>
      <c r="D778" s="137"/>
      <c r="E778" s="137"/>
      <c r="F778" s="137"/>
      <c r="G778" s="137"/>
      <c r="H778" s="137"/>
      <c r="I778" s="137"/>
      <c r="J778" s="137"/>
      <c r="K778" s="137"/>
      <c r="L778" s="137"/>
      <c r="M778" s="137"/>
      <c r="N778" s="137"/>
      <c r="O778" s="137"/>
      <c r="P778" s="137"/>
      <c r="Q778" s="137"/>
      <c r="R778" s="137"/>
      <c r="S778" s="137"/>
      <c r="T778" s="137"/>
      <c r="U778" s="137"/>
      <c r="V778" s="137"/>
      <c r="W778" s="137"/>
    </row>
    <row r="779" spans="1:23" x14ac:dyDescent="0.2">
      <c r="A779" s="137"/>
      <c r="B779" s="137"/>
      <c r="C779" s="137"/>
      <c r="D779" s="137"/>
      <c r="E779" s="137"/>
      <c r="F779" s="137"/>
      <c r="G779" s="137"/>
      <c r="H779" s="137"/>
      <c r="I779" s="137"/>
      <c r="J779" s="137"/>
      <c r="K779" s="137"/>
      <c r="L779" s="137"/>
      <c r="M779" s="137"/>
      <c r="N779" s="137"/>
      <c r="O779" s="137"/>
      <c r="P779" s="137"/>
      <c r="Q779" s="137"/>
      <c r="R779" s="137"/>
      <c r="S779" s="137"/>
      <c r="T779" s="137"/>
      <c r="U779" s="137"/>
      <c r="V779" s="137"/>
      <c r="W779" s="137"/>
    </row>
    <row r="780" spans="1:23" x14ac:dyDescent="0.2">
      <c r="A780" s="137"/>
      <c r="B780" s="137"/>
      <c r="C780" s="137"/>
      <c r="D780" s="137"/>
      <c r="E780" s="137"/>
      <c r="F780" s="137"/>
      <c r="G780" s="137"/>
      <c r="H780" s="137"/>
      <c r="I780" s="137"/>
      <c r="J780" s="137"/>
      <c r="K780" s="137"/>
      <c r="L780" s="137"/>
      <c r="M780" s="137"/>
      <c r="N780" s="137"/>
      <c r="O780" s="137"/>
      <c r="P780" s="137"/>
      <c r="Q780" s="137"/>
      <c r="R780" s="137"/>
      <c r="S780" s="137"/>
      <c r="T780" s="137"/>
      <c r="U780" s="137"/>
      <c r="V780" s="137"/>
      <c r="W780" s="137"/>
    </row>
    <row r="781" spans="1:23" x14ac:dyDescent="0.2">
      <c r="A781" s="137"/>
      <c r="B781" s="137"/>
      <c r="C781" s="137"/>
      <c r="D781" s="137"/>
      <c r="E781" s="137"/>
      <c r="F781" s="137"/>
      <c r="G781" s="137"/>
      <c r="H781" s="137"/>
      <c r="I781" s="137"/>
      <c r="J781" s="137"/>
      <c r="K781" s="137"/>
      <c r="L781" s="137"/>
      <c r="M781" s="137"/>
      <c r="N781" s="137"/>
      <c r="O781" s="137"/>
      <c r="P781" s="137"/>
      <c r="Q781" s="137"/>
      <c r="R781" s="137"/>
      <c r="S781" s="137"/>
      <c r="T781" s="137"/>
      <c r="U781" s="137"/>
      <c r="V781" s="137"/>
      <c r="W781" s="137"/>
    </row>
    <row r="782" spans="1:23" x14ac:dyDescent="0.2">
      <c r="A782" s="137"/>
      <c r="B782" s="137"/>
      <c r="C782" s="137"/>
      <c r="D782" s="137"/>
      <c r="E782" s="137"/>
      <c r="F782" s="137"/>
      <c r="G782" s="137"/>
      <c r="H782" s="137"/>
      <c r="I782" s="137"/>
      <c r="J782" s="137"/>
      <c r="K782" s="137"/>
      <c r="L782" s="137"/>
      <c r="M782" s="137"/>
      <c r="N782" s="137"/>
      <c r="O782" s="137"/>
      <c r="P782" s="137"/>
      <c r="Q782" s="137"/>
      <c r="R782" s="137"/>
      <c r="S782" s="137"/>
      <c r="T782" s="137"/>
      <c r="U782" s="137"/>
      <c r="V782" s="137"/>
      <c r="W782" s="137"/>
    </row>
    <row r="783" spans="1:23" x14ac:dyDescent="0.2">
      <c r="A783" s="137"/>
      <c r="B783" s="137"/>
      <c r="C783" s="137"/>
      <c r="D783" s="137"/>
      <c r="E783" s="137"/>
      <c r="F783" s="137"/>
      <c r="G783" s="137"/>
      <c r="H783" s="137"/>
      <c r="I783" s="137"/>
      <c r="J783" s="137"/>
      <c r="K783" s="137"/>
      <c r="L783" s="137"/>
      <c r="M783" s="137"/>
      <c r="N783" s="137"/>
      <c r="O783" s="137"/>
      <c r="P783" s="137"/>
      <c r="Q783" s="137"/>
      <c r="R783" s="137"/>
      <c r="S783" s="137"/>
      <c r="T783" s="137"/>
      <c r="U783" s="137"/>
      <c r="V783" s="137"/>
      <c r="W783" s="137"/>
    </row>
    <row r="784" spans="1:23" x14ac:dyDescent="0.2">
      <c r="A784" s="137"/>
      <c r="B784" s="137"/>
      <c r="C784" s="137"/>
      <c r="D784" s="137"/>
      <c r="E784" s="137"/>
      <c r="F784" s="137"/>
      <c r="G784" s="137"/>
      <c r="H784" s="137"/>
      <c r="I784" s="137"/>
      <c r="J784" s="137"/>
      <c r="K784" s="137"/>
      <c r="L784" s="137"/>
      <c r="M784" s="137"/>
      <c r="N784" s="137"/>
      <c r="O784" s="137"/>
      <c r="P784" s="137"/>
      <c r="Q784" s="137"/>
      <c r="R784" s="137"/>
      <c r="S784" s="137"/>
      <c r="T784" s="137"/>
      <c r="U784" s="137"/>
      <c r="V784" s="137"/>
      <c r="W784" s="137"/>
    </row>
    <row r="785" spans="1:23" x14ac:dyDescent="0.2">
      <c r="A785" s="137"/>
      <c r="B785" s="137"/>
      <c r="C785" s="137"/>
      <c r="D785" s="137"/>
      <c r="E785" s="137"/>
      <c r="F785" s="137"/>
      <c r="G785" s="137"/>
      <c r="H785" s="137"/>
      <c r="I785" s="137"/>
      <c r="J785" s="137"/>
      <c r="K785" s="137"/>
      <c r="L785" s="137"/>
      <c r="M785" s="137"/>
      <c r="N785" s="137"/>
      <c r="O785" s="137"/>
      <c r="P785" s="137"/>
      <c r="Q785" s="137"/>
      <c r="R785" s="137"/>
      <c r="S785" s="137"/>
      <c r="T785" s="137"/>
      <c r="U785" s="137"/>
      <c r="V785" s="137"/>
      <c r="W785" s="137"/>
    </row>
    <row r="786" spans="1:23" x14ac:dyDescent="0.2">
      <c r="A786" s="137"/>
      <c r="B786" s="137"/>
      <c r="C786" s="137"/>
      <c r="D786" s="137"/>
      <c r="E786" s="137"/>
      <c r="F786" s="137"/>
      <c r="G786" s="137"/>
      <c r="H786" s="137"/>
      <c r="I786" s="137"/>
      <c r="J786" s="137"/>
      <c r="K786" s="137"/>
      <c r="L786" s="137"/>
      <c r="M786" s="137"/>
      <c r="N786" s="137"/>
      <c r="O786" s="137"/>
      <c r="P786" s="137"/>
      <c r="Q786" s="137"/>
      <c r="R786" s="137"/>
      <c r="S786" s="137"/>
      <c r="T786" s="137"/>
      <c r="U786" s="137"/>
      <c r="V786" s="137"/>
      <c r="W786" s="137"/>
    </row>
    <row r="787" spans="1:23" x14ac:dyDescent="0.2">
      <c r="A787" s="137"/>
      <c r="B787" s="137"/>
      <c r="C787" s="137"/>
      <c r="D787" s="137"/>
      <c r="E787" s="137"/>
      <c r="F787" s="137"/>
      <c r="G787" s="137"/>
      <c r="H787" s="137"/>
      <c r="I787" s="137"/>
      <c r="J787" s="137"/>
      <c r="K787" s="137"/>
      <c r="L787" s="137"/>
      <c r="M787" s="137"/>
      <c r="N787" s="137"/>
      <c r="O787" s="137"/>
      <c r="P787" s="137"/>
      <c r="Q787" s="137"/>
      <c r="R787" s="137"/>
      <c r="S787" s="137"/>
      <c r="T787" s="137"/>
      <c r="U787" s="137"/>
      <c r="V787" s="137"/>
      <c r="W787" s="137"/>
    </row>
    <row r="788" spans="1:23" x14ac:dyDescent="0.2">
      <c r="A788" s="137"/>
      <c r="B788" s="137"/>
      <c r="C788" s="137"/>
      <c r="D788" s="137"/>
      <c r="E788" s="137"/>
      <c r="F788" s="137"/>
      <c r="G788" s="137"/>
      <c r="H788" s="137"/>
      <c r="I788" s="137"/>
      <c r="J788" s="137"/>
      <c r="K788" s="137"/>
      <c r="L788" s="137"/>
      <c r="M788" s="137"/>
      <c r="N788" s="137"/>
      <c r="O788" s="137"/>
      <c r="P788" s="137"/>
      <c r="Q788" s="137"/>
      <c r="R788" s="137"/>
      <c r="S788" s="137"/>
      <c r="T788" s="137"/>
      <c r="U788" s="137"/>
      <c r="V788" s="137"/>
      <c r="W788" s="137"/>
    </row>
    <row r="789" spans="1:23" x14ac:dyDescent="0.2">
      <c r="A789" s="137"/>
      <c r="B789" s="137"/>
      <c r="C789" s="137"/>
      <c r="D789" s="137"/>
      <c r="E789" s="137"/>
      <c r="F789" s="137"/>
      <c r="G789" s="137"/>
      <c r="H789" s="137"/>
      <c r="I789" s="137"/>
      <c r="J789" s="137"/>
      <c r="K789" s="137"/>
      <c r="L789" s="137"/>
      <c r="M789" s="137"/>
      <c r="N789" s="137"/>
      <c r="O789" s="137"/>
      <c r="P789" s="137"/>
      <c r="Q789" s="137"/>
      <c r="R789" s="137"/>
      <c r="S789" s="137"/>
      <c r="T789" s="137"/>
      <c r="U789" s="137"/>
      <c r="V789" s="137"/>
      <c r="W789" s="137"/>
    </row>
    <row r="790" spans="1:23" x14ac:dyDescent="0.2">
      <c r="A790" s="137"/>
      <c r="B790" s="137"/>
      <c r="C790" s="137"/>
      <c r="D790" s="137"/>
      <c r="E790" s="137"/>
      <c r="F790" s="137"/>
      <c r="G790" s="137"/>
      <c r="H790" s="137"/>
      <c r="I790" s="137"/>
      <c r="J790" s="137"/>
      <c r="K790" s="137"/>
      <c r="L790" s="137"/>
      <c r="M790" s="137"/>
      <c r="N790" s="137"/>
      <c r="O790" s="137"/>
      <c r="P790" s="137"/>
      <c r="Q790" s="137"/>
      <c r="R790" s="137"/>
      <c r="S790" s="137"/>
      <c r="T790" s="137"/>
      <c r="U790" s="137"/>
      <c r="V790" s="137"/>
      <c r="W790" s="137"/>
    </row>
    <row r="791" spans="1:23" x14ac:dyDescent="0.2">
      <c r="A791" s="137"/>
      <c r="B791" s="137"/>
      <c r="C791" s="137"/>
      <c r="D791" s="137"/>
      <c r="E791" s="137"/>
      <c r="F791" s="137"/>
      <c r="G791" s="137"/>
      <c r="H791" s="137"/>
      <c r="I791" s="137"/>
      <c r="J791" s="137"/>
      <c r="K791" s="137"/>
      <c r="L791" s="137"/>
      <c r="M791" s="137"/>
      <c r="N791" s="137"/>
      <c r="O791" s="137"/>
      <c r="P791" s="137"/>
      <c r="Q791" s="137"/>
      <c r="R791" s="137"/>
      <c r="S791" s="137"/>
      <c r="T791" s="137"/>
      <c r="U791" s="137"/>
      <c r="V791" s="137"/>
      <c r="W791" s="137"/>
    </row>
    <row r="792" spans="1:23" x14ac:dyDescent="0.2">
      <c r="A792" s="137"/>
      <c r="B792" s="137"/>
      <c r="C792" s="137"/>
      <c r="D792" s="137"/>
      <c r="E792" s="137"/>
      <c r="F792" s="137"/>
      <c r="G792" s="137"/>
      <c r="H792" s="137"/>
      <c r="I792" s="137"/>
      <c r="J792" s="137"/>
      <c r="K792" s="137"/>
      <c r="L792" s="137"/>
      <c r="M792" s="137"/>
      <c r="N792" s="137"/>
      <c r="O792" s="137"/>
      <c r="P792" s="137"/>
      <c r="Q792" s="137"/>
      <c r="R792" s="137"/>
      <c r="S792" s="137"/>
      <c r="T792" s="137"/>
      <c r="U792" s="137"/>
      <c r="V792" s="137"/>
      <c r="W792" s="137"/>
    </row>
    <row r="793" spans="1:23" x14ac:dyDescent="0.2">
      <c r="A793" s="137"/>
      <c r="B793" s="137"/>
      <c r="C793" s="137"/>
      <c r="D793" s="137"/>
      <c r="E793" s="137"/>
      <c r="F793" s="137"/>
      <c r="G793" s="137"/>
      <c r="H793" s="137"/>
      <c r="I793" s="137"/>
      <c r="J793" s="137"/>
      <c r="K793" s="137"/>
      <c r="L793" s="137"/>
      <c r="M793" s="137"/>
      <c r="N793" s="137"/>
      <c r="O793" s="137"/>
      <c r="P793" s="137"/>
      <c r="Q793" s="137"/>
      <c r="R793" s="137"/>
      <c r="S793" s="137"/>
      <c r="T793" s="137"/>
      <c r="U793" s="137"/>
      <c r="V793" s="137"/>
      <c r="W793" s="137"/>
    </row>
    <row r="794" spans="1:23" x14ac:dyDescent="0.2">
      <c r="A794" s="137"/>
      <c r="B794" s="137"/>
      <c r="C794" s="137"/>
      <c r="D794" s="137"/>
      <c r="E794" s="137"/>
      <c r="F794" s="137"/>
      <c r="G794" s="137"/>
      <c r="H794" s="137"/>
      <c r="I794" s="137"/>
      <c r="J794" s="137"/>
      <c r="K794" s="137"/>
      <c r="L794" s="137"/>
      <c r="M794" s="137"/>
      <c r="N794" s="137"/>
      <c r="O794" s="137"/>
      <c r="P794" s="137"/>
      <c r="Q794" s="137"/>
      <c r="R794" s="137"/>
      <c r="S794" s="137"/>
      <c r="T794" s="137"/>
      <c r="U794" s="137"/>
      <c r="V794" s="137"/>
      <c r="W794" s="137"/>
    </row>
    <row r="795" spans="1:23" x14ac:dyDescent="0.2">
      <c r="A795" s="137"/>
      <c r="B795" s="137"/>
      <c r="C795" s="137"/>
      <c r="D795" s="137"/>
      <c r="E795" s="137"/>
      <c r="F795" s="137"/>
      <c r="G795" s="137"/>
      <c r="H795" s="137"/>
      <c r="I795" s="137"/>
      <c r="J795" s="137"/>
      <c r="K795" s="137"/>
      <c r="L795" s="137"/>
      <c r="M795" s="137"/>
      <c r="N795" s="137"/>
      <c r="O795" s="137"/>
      <c r="P795" s="137"/>
      <c r="Q795" s="137"/>
      <c r="R795" s="137"/>
      <c r="S795" s="137"/>
      <c r="T795" s="137"/>
      <c r="U795" s="137"/>
      <c r="V795" s="137"/>
      <c r="W795" s="137"/>
    </row>
    <row r="796" spans="1:23" x14ac:dyDescent="0.2">
      <c r="A796" s="137"/>
      <c r="B796" s="137"/>
      <c r="C796" s="137"/>
      <c r="D796" s="137"/>
      <c r="E796" s="137"/>
      <c r="F796" s="137"/>
      <c r="G796" s="137"/>
      <c r="H796" s="137"/>
      <c r="I796" s="137"/>
      <c r="J796" s="137"/>
      <c r="K796" s="137"/>
      <c r="L796" s="137"/>
      <c r="M796" s="137"/>
      <c r="N796" s="137"/>
      <c r="O796" s="137"/>
      <c r="P796" s="137"/>
      <c r="Q796" s="137"/>
      <c r="R796" s="137"/>
      <c r="S796" s="137"/>
      <c r="T796" s="137"/>
      <c r="U796" s="137"/>
      <c r="V796" s="137"/>
      <c r="W796" s="137"/>
    </row>
    <row r="797" spans="1:23" x14ac:dyDescent="0.2">
      <c r="A797" s="137"/>
      <c r="B797" s="137"/>
      <c r="C797" s="137"/>
      <c r="D797" s="137"/>
      <c r="E797" s="137"/>
      <c r="F797" s="137"/>
      <c r="G797" s="137"/>
      <c r="H797" s="137"/>
      <c r="I797" s="137"/>
      <c r="J797" s="137"/>
      <c r="K797" s="137"/>
      <c r="L797" s="137"/>
      <c r="M797" s="137"/>
      <c r="N797" s="137"/>
      <c r="O797" s="137"/>
      <c r="P797" s="137"/>
      <c r="Q797" s="137"/>
      <c r="R797" s="137"/>
      <c r="S797" s="137"/>
      <c r="T797" s="137"/>
      <c r="U797" s="137"/>
      <c r="V797" s="137"/>
      <c r="W797" s="137"/>
    </row>
    <row r="798" spans="1:23" x14ac:dyDescent="0.2">
      <c r="A798" s="137"/>
      <c r="B798" s="137"/>
      <c r="C798" s="137"/>
      <c r="D798" s="137"/>
      <c r="E798" s="137"/>
      <c r="F798" s="137"/>
      <c r="G798" s="137"/>
      <c r="H798" s="137"/>
      <c r="I798" s="137"/>
      <c r="J798" s="137"/>
      <c r="K798" s="137"/>
      <c r="L798" s="137"/>
      <c r="M798" s="137"/>
      <c r="N798" s="137"/>
      <c r="O798" s="137"/>
      <c r="P798" s="137"/>
      <c r="Q798" s="137"/>
      <c r="R798" s="137"/>
      <c r="S798" s="137"/>
      <c r="T798" s="137"/>
      <c r="U798" s="137"/>
      <c r="V798" s="137"/>
      <c r="W798" s="137"/>
    </row>
    <row r="799" spans="1:23" x14ac:dyDescent="0.2">
      <c r="A799" s="137"/>
      <c r="B799" s="137"/>
      <c r="C799" s="137"/>
      <c r="D799" s="137"/>
      <c r="E799" s="137"/>
      <c r="F799" s="137"/>
      <c r="G799" s="137"/>
      <c r="H799" s="137"/>
      <c r="I799" s="137"/>
      <c r="J799" s="137"/>
      <c r="K799" s="137"/>
      <c r="L799" s="137"/>
      <c r="M799" s="137"/>
      <c r="N799" s="137"/>
      <c r="O799" s="137"/>
      <c r="P799" s="137"/>
      <c r="Q799" s="137"/>
      <c r="R799" s="137"/>
      <c r="S799" s="137"/>
      <c r="T799" s="137"/>
      <c r="U799" s="137"/>
      <c r="V799" s="137"/>
      <c r="W799" s="137"/>
    </row>
    <row r="800" spans="1:23" x14ac:dyDescent="0.2">
      <c r="A800" s="137"/>
      <c r="B800" s="137"/>
      <c r="C800" s="137"/>
      <c r="D800" s="137"/>
      <c r="E800" s="137"/>
      <c r="F800" s="137"/>
      <c r="G800" s="137"/>
      <c r="H800" s="137"/>
      <c r="I800" s="137"/>
      <c r="J800" s="137"/>
      <c r="K800" s="137"/>
      <c r="L800" s="137"/>
      <c r="M800" s="137"/>
      <c r="N800" s="137"/>
      <c r="O800" s="137"/>
      <c r="P800" s="137"/>
      <c r="Q800" s="137"/>
      <c r="R800" s="137"/>
      <c r="S800" s="137"/>
      <c r="T800" s="137"/>
      <c r="U800" s="137"/>
      <c r="V800" s="137"/>
      <c r="W800" s="137"/>
    </row>
    <row r="801" spans="1:23" x14ac:dyDescent="0.2">
      <c r="A801" s="137"/>
      <c r="B801" s="137"/>
      <c r="C801" s="137"/>
      <c r="D801" s="137"/>
      <c r="E801" s="137"/>
      <c r="F801" s="137"/>
      <c r="G801" s="137"/>
      <c r="H801" s="137"/>
      <c r="I801" s="137"/>
      <c r="J801" s="137"/>
      <c r="K801" s="137"/>
      <c r="L801" s="137"/>
      <c r="M801" s="137"/>
      <c r="N801" s="137"/>
      <c r="O801" s="137"/>
      <c r="P801" s="137"/>
      <c r="Q801" s="137"/>
      <c r="R801" s="137"/>
      <c r="S801" s="137"/>
      <c r="T801" s="137"/>
      <c r="U801" s="137"/>
      <c r="V801" s="137"/>
      <c r="W801" s="137"/>
    </row>
    <row r="802" spans="1:23" x14ac:dyDescent="0.2">
      <c r="A802" s="137"/>
      <c r="B802" s="137"/>
      <c r="C802" s="137"/>
      <c r="D802" s="137"/>
      <c r="E802" s="137"/>
      <c r="F802" s="137"/>
      <c r="G802" s="137"/>
      <c r="H802" s="137"/>
      <c r="I802" s="137"/>
      <c r="J802" s="137"/>
      <c r="K802" s="137"/>
      <c r="L802" s="137"/>
      <c r="M802" s="137"/>
      <c r="N802" s="137"/>
      <c r="O802" s="137"/>
      <c r="P802" s="137"/>
      <c r="Q802" s="137"/>
      <c r="R802" s="137"/>
      <c r="S802" s="137"/>
      <c r="T802" s="137"/>
      <c r="U802" s="137"/>
      <c r="V802" s="137"/>
      <c r="W802" s="137"/>
    </row>
    <row r="803" spans="1:23" x14ac:dyDescent="0.2">
      <c r="A803" s="137"/>
      <c r="B803" s="137"/>
      <c r="C803" s="137"/>
      <c r="D803" s="137"/>
      <c r="E803" s="137"/>
      <c r="F803" s="137"/>
      <c r="G803" s="137"/>
      <c r="H803" s="137"/>
      <c r="I803" s="137"/>
      <c r="J803" s="137"/>
      <c r="K803" s="137"/>
      <c r="L803" s="137"/>
      <c r="M803" s="137"/>
      <c r="N803" s="137"/>
      <c r="O803" s="137"/>
      <c r="P803" s="137"/>
      <c r="Q803" s="137"/>
      <c r="R803" s="137"/>
      <c r="S803" s="137"/>
      <c r="T803" s="137"/>
      <c r="U803" s="137"/>
      <c r="V803" s="137"/>
      <c r="W803" s="137"/>
    </row>
    <row r="804" spans="1:23" x14ac:dyDescent="0.2">
      <c r="A804" s="137"/>
      <c r="B804" s="137"/>
      <c r="C804" s="137"/>
      <c r="D804" s="137"/>
      <c r="E804" s="137"/>
      <c r="F804" s="137"/>
      <c r="G804" s="137"/>
      <c r="H804" s="137"/>
      <c r="I804" s="137"/>
      <c r="J804" s="137"/>
      <c r="K804" s="137"/>
      <c r="L804" s="137"/>
      <c r="M804" s="137"/>
      <c r="N804" s="137"/>
      <c r="O804" s="137"/>
      <c r="P804" s="137"/>
      <c r="Q804" s="137"/>
      <c r="R804" s="137"/>
      <c r="S804" s="137"/>
      <c r="T804" s="137"/>
      <c r="U804" s="137"/>
      <c r="V804" s="137"/>
      <c r="W804" s="137"/>
    </row>
    <row r="805" spans="1:23" x14ac:dyDescent="0.2">
      <c r="A805" s="137"/>
      <c r="B805" s="137"/>
      <c r="C805" s="137"/>
      <c r="D805" s="137"/>
      <c r="E805" s="137"/>
      <c r="F805" s="137"/>
      <c r="G805" s="137"/>
      <c r="H805" s="137"/>
      <c r="I805" s="137"/>
      <c r="J805" s="137"/>
      <c r="K805" s="137"/>
      <c r="L805" s="137"/>
      <c r="M805" s="137"/>
      <c r="N805" s="137"/>
      <c r="O805" s="137"/>
      <c r="P805" s="137"/>
      <c r="Q805" s="137"/>
      <c r="R805" s="137"/>
      <c r="S805" s="137"/>
      <c r="T805" s="137"/>
      <c r="U805" s="137"/>
      <c r="V805" s="137"/>
      <c r="W805" s="137"/>
    </row>
    <row r="806" spans="1:23" x14ac:dyDescent="0.2">
      <c r="A806" s="137"/>
      <c r="B806" s="137"/>
      <c r="C806" s="137"/>
      <c r="D806" s="137"/>
      <c r="E806" s="137"/>
      <c r="F806" s="137"/>
      <c r="G806" s="137"/>
      <c r="H806" s="137"/>
      <c r="I806" s="137"/>
      <c r="J806" s="137"/>
      <c r="K806" s="137"/>
      <c r="L806" s="137"/>
      <c r="M806" s="137"/>
      <c r="N806" s="137"/>
      <c r="O806" s="137"/>
      <c r="P806" s="137"/>
      <c r="Q806" s="137"/>
      <c r="R806" s="137"/>
      <c r="S806" s="137"/>
      <c r="T806" s="137"/>
      <c r="U806" s="137"/>
      <c r="V806" s="137"/>
      <c r="W806" s="137"/>
    </row>
    <row r="807" spans="1:23" x14ac:dyDescent="0.2">
      <c r="A807" s="137"/>
      <c r="B807" s="137"/>
      <c r="C807" s="137"/>
      <c r="D807" s="137"/>
      <c r="E807" s="137"/>
      <c r="F807" s="137"/>
      <c r="G807" s="137"/>
      <c r="H807" s="137"/>
      <c r="I807" s="137"/>
      <c r="J807" s="137"/>
      <c r="K807" s="137"/>
      <c r="L807" s="137"/>
      <c r="M807" s="137"/>
      <c r="N807" s="137"/>
      <c r="O807" s="137"/>
      <c r="P807" s="137"/>
      <c r="Q807" s="137"/>
      <c r="R807" s="137"/>
      <c r="S807" s="137"/>
      <c r="T807" s="137"/>
      <c r="U807" s="137"/>
      <c r="V807" s="137"/>
      <c r="W807" s="137"/>
    </row>
    <row r="808" spans="1:23" x14ac:dyDescent="0.2">
      <c r="A808" s="137"/>
      <c r="B808" s="137"/>
      <c r="C808" s="137"/>
      <c r="D808" s="137"/>
      <c r="E808" s="137"/>
      <c r="F808" s="137"/>
      <c r="G808" s="137"/>
      <c r="H808" s="137"/>
      <c r="I808" s="137"/>
      <c r="J808" s="137"/>
      <c r="K808" s="137"/>
      <c r="L808" s="137"/>
      <c r="M808" s="137"/>
      <c r="N808" s="137"/>
      <c r="O808" s="137"/>
      <c r="P808" s="137"/>
      <c r="Q808" s="137"/>
      <c r="R808" s="137"/>
      <c r="S808" s="137"/>
      <c r="T808" s="137"/>
      <c r="U808" s="137"/>
      <c r="V808" s="137"/>
      <c r="W808" s="137"/>
    </row>
    <row r="809" spans="1:23" x14ac:dyDescent="0.2">
      <c r="A809" s="137"/>
      <c r="B809" s="137"/>
      <c r="C809" s="137"/>
      <c r="D809" s="137"/>
      <c r="E809" s="137"/>
      <c r="F809" s="137"/>
      <c r="G809" s="137"/>
      <c r="H809" s="137"/>
      <c r="I809" s="137"/>
      <c r="J809" s="137"/>
      <c r="K809" s="137"/>
      <c r="L809" s="137"/>
      <c r="M809" s="137"/>
      <c r="N809" s="137"/>
      <c r="O809" s="137"/>
      <c r="P809" s="137"/>
      <c r="Q809" s="137"/>
      <c r="R809" s="137"/>
      <c r="S809" s="137"/>
      <c r="T809" s="137"/>
      <c r="U809" s="137"/>
      <c r="V809" s="137"/>
      <c r="W809" s="137"/>
    </row>
    <row r="810" spans="1:23" x14ac:dyDescent="0.2">
      <c r="A810" s="137"/>
      <c r="B810" s="137"/>
      <c r="C810" s="137"/>
      <c r="D810" s="137"/>
      <c r="E810" s="137"/>
      <c r="F810" s="137"/>
      <c r="G810" s="137"/>
      <c r="H810" s="137"/>
      <c r="I810" s="137"/>
      <c r="J810" s="137"/>
      <c r="K810" s="137"/>
      <c r="L810" s="137"/>
      <c r="M810" s="137"/>
      <c r="N810" s="137"/>
      <c r="O810" s="137"/>
      <c r="P810" s="137"/>
      <c r="Q810" s="137"/>
      <c r="R810" s="137"/>
      <c r="S810" s="137"/>
      <c r="T810" s="137"/>
      <c r="U810" s="137"/>
      <c r="V810" s="137"/>
      <c r="W810" s="137"/>
    </row>
    <row r="811" spans="1:23" x14ac:dyDescent="0.2">
      <c r="A811" s="137"/>
      <c r="B811" s="137"/>
      <c r="C811" s="137"/>
      <c r="D811" s="137"/>
      <c r="E811" s="137"/>
      <c r="F811" s="137"/>
      <c r="G811" s="137"/>
      <c r="H811" s="137"/>
      <c r="I811" s="137"/>
      <c r="J811" s="137"/>
      <c r="K811" s="137"/>
      <c r="L811" s="137"/>
      <c r="M811" s="137"/>
      <c r="N811" s="137"/>
      <c r="O811" s="137"/>
      <c r="P811" s="137"/>
      <c r="Q811" s="137"/>
      <c r="R811" s="137"/>
      <c r="S811" s="137"/>
      <c r="T811" s="137"/>
      <c r="U811" s="137"/>
      <c r="V811" s="137"/>
      <c r="W811" s="137"/>
    </row>
    <row r="812" spans="1:23" x14ac:dyDescent="0.2">
      <c r="A812" s="137"/>
      <c r="B812" s="137"/>
      <c r="C812" s="137"/>
      <c r="D812" s="137"/>
      <c r="E812" s="137"/>
      <c r="F812" s="137"/>
      <c r="G812" s="137"/>
      <c r="H812" s="137"/>
      <c r="I812" s="137"/>
      <c r="J812" s="137"/>
      <c r="K812" s="137"/>
      <c r="L812" s="137"/>
      <c r="M812" s="137"/>
      <c r="N812" s="137"/>
      <c r="O812" s="137"/>
      <c r="P812" s="137"/>
      <c r="Q812" s="137"/>
      <c r="R812" s="137"/>
      <c r="S812" s="137"/>
      <c r="T812" s="137"/>
      <c r="U812" s="137"/>
      <c r="V812" s="137"/>
      <c r="W812" s="137"/>
    </row>
    <row r="813" spans="1:23" x14ac:dyDescent="0.2">
      <c r="A813" s="137"/>
      <c r="B813" s="137"/>
      <c r="C813" s="137"/>
      <c r="D813" s="137"/>
      <c r="E813" s="137"/>
      <c r="F813" s="137"/>
      <c r="G813" s="137"/>
      <c r="H813" s="137"/>
      <c r="I813" s="137"/>
      <c r="J813" s="137"/>
      <c r="K813" s="137"/>
      <c r="L813" s="137"/>
      <c r="M813" s="137"/>
      <c r="N813" s="137"/>
      <c r="O813" s="137"/>
      <c r="P813" s="137"/>
      <c r="Q813" s="137"/>
      <c r="R813" s="137"/>
      <c r="S813" s="137"/>
      <c r="T813" s="137"/>
      <c r="U813" s="137"/>
      <c r="V813" s="137"/>
      <c r="W813" s="137"/>
    </row>
    <row r="814" spans="1:23" x14ac:dyDescent="0.2">
      <c r="A814" s="137"/>
      <c r="B814" s="137"/>
      <c r="C814" s="137"/>
      <c r="D814" s="137"/>
      <c r="E814" s="137"/>
      <c r="F814" s="137"/>
      <c r="G814" s="137"/>
      <c r="H814" s="137"/>
      <c r="I814" s="137"/>
      <c r="J814" s="137"/>
      <c r="K814" s="137"/>
      <c r="L814" s="137"/>
      <c r="M814" s="137"/>
      <c r="N814" s="137"/>
      <c r="O814" s="137"/>
      <c r="P814" s="137"/>
      <c r="Q814" s="137"/>
      <c r="R814" s="137"/>
      <c r="S814" s="137"/>
      <c r="T814" s="137"/>
      <c r="U814" s="137"/>
      <c r="V814" s="137"/>
      <c r="W814" s="137"/>
    </row>
    <row r="815" spans="1:23" x14ac:dyDescent="0.2">
      <c r="A815" s="137"/>
      <c r="B815" s="137"/>
      <c r="C815" s="137"/>
      <c r="D815" s="137"/>
      <c r="E815" s="137"/>
      <c r="F815" s="137"/>
      <c r="G815" s="137"/>
      <c r="H815" s="137"/>
      <c r="I815" s="137"/>
      <c r="J815" s="137"/>
      <c r="K815" s="137"/>
      <c r="L815" s="137"/>
      <c r="M815" s="137"/>
      <c r="N815" s="137"/>
      <c r="O815" s="137"/>
      <c r="P815" s="137"/>
      <c r="Q815" s="137"/>
      <c r="R815" s="137"/>
      <c r="S815" s="137"/>
      <c r="T815" s="137"/>
      <c r="U815" s="137"/>
      <c r="V815" s="137"/>
      <c r="W815" s="137"/>
    </row>
    <row r="816" spans="1:23" x14ac:dyDescent="0.2">
      <c r="A816" s="137"/>
      <c r="B816" s="137"/>
      <c r="C816" s="137"/>
      <c r="D816" s="137"/>
      <c r="E816" s="137"/>
      <c r="F816" s="137"/>
      <c r="G816" s="137"/>
      <c r="H816" s="137"/>
      <c r="I816" s="137"/>
      <c r="J816" s="137"/>
      <c r="K816" s="137"/>
      <c r="L816" s="137"/>
      <c r="M816" s="137"/>
      <c r="N816" s="137"/>
      <c r="O816" s="137"/>
      <c r="P816" s="137"/>
      <c r="Q816" s="137"/>
      <c r="R816" s="137"/>
      <c r="S816" s="137"/>
      <c r="T816" s="137"/>
      <c r="U816" s="137"/>
      <c r="V816" s="137"/>
      <c r="W816" s="137"/>
    </row>
    <row r="817" spans="1:23" x14ac:dyDescent="0.2">
      <c r="A817" s="137"/>
      <c r="B817" s="137"/>
      <c r="C817" s="137"/>
      <c r="D817" s="137"/>
      <c r="E817" s="137"/>
      <c r="F817" s="137"/>
      <c r="G817" s="137"/>
      <c r="H817" s="137"/>
      <c r="I817" s="137"/>
      <c r="J817" s="137"/>
      <c r="K817" s="137"/>
      <c r="L817" s="137"/>
      <c r="M817" s="137"/>
      <c r="N817" s="137"/>
      <c r="O817" s="137"/>
      <c r="P817" s="137"/>
      <c r="Q817" s="137"/>
      <c r="R817" s="137"/>
      <c r="S817" s="137"/>
      <c r="T817" s="137"/>
      <c r="U817" s="137"/>
      <c r="V817" s="137"/>
      <c r="W817" s="137"/>
    </row>
    <row r="818" spans="1:23" x14ac:dyDescent="0.2">
      <c r="A818" s="137"/>
      <c r="B818" s="137"/>
      <c r="C818" s="137"/>
      <c r="D818" s="137"/>
      <c r="E818" s="137"/>
      <c r="F818" s="137"/>
      <c r="G818" s="137"/>
      <c r="H818" s="137"/>
      <c r="I818" s="137"/>
      <c r="J818" s="137"/>
      <c r="K818" s="137"/>
      <c r="L818" s="137"/>
      <c r="M818" s="137"/>
      <c r="N818" s="137"/>
      <c r="O818" s="137"/>
      <c r="P818" s="137"/>
      <c r="Q818" s="137"/>
      <c r="R818" s="137"/>
      <c r="S818" s="137"/>
      <c r="T818" s="137"/>
      <c r="U818" s="137"/>
      <c r="V818" s="137"/>
      <c r="W818" s="137"/>
    </row>
    <row r="819" spans="1:23" x14ac:dyDescent="0.2">
      <c r="A819" s="137"/>
      <c r="B819" s="137"/>
      <c r="C819" s="137"/>
      <c r="D819" s="137"/>
      <c r="E819" s="137"/>
      <c r="F819" s="137"/>
      <c r="G819" s="137"/>
      <c r="H819" s="137"/>
      <c r="I819" s="137"/>
      <c r="J819" s="137"/>
      <c r="K819" s="137"/>
      <c r="L819" s="137"/>
      <c r="M819" s="137"/>
      <c r="N819" s="137"/>
      <c r="O819" s="137"/>
      <c r="P819" s="137"/>
      <c r="Q819" s="137"/>
      <c r="R819" s="137"/>
      <c r="S819" s="137"/>
      <c r="T819" s="137"/>
      <c r="U819" s="137"/>
      <c r="V819" s="137"/>
      <c r="W819" s="137"/>
    </row>
    <row r="820" spans="1:23" x14ac:dyDescent="0.2">
      <c r="A820" s="137"/>
      <c r="B820" s="137"/>
      <c r="C820" s="137"/>
      <c r="D820" s="137"/>
      <c r="E820" s="137"/>
      <c r="F820" s="137"/>
      <c r="G820" s="137"/>
      <c r="H820" s="137"/>
      <c r="I820" s="137"/>
      <c r="J820" s="137"/>
      <c r="K820" s="137"/>
      <c r="L820" s="137"/>
      <c r="M820" s="137"/>
      <c r="N820" s="137"/>
      <c r="O820" s="137"/>
      <c r="P820" s="137"/>
      <c r="Q820" s="137"/>
      <c r="R820" s="137"/>
      <c r="S820" s="137"/>
      <c r="T820" s="137"/>
      <c r="U820" s="137"/>
      <c r="V820" s="137"/>
      <c r="W820" s="137"/>
    </row>
    <row r="821" spans="1:23" x14ac:dyDescent="0.2">
      <c r="A821" s="137"/>
      <c r="B821" s="137"/>
      <c r="C821" s="137"/>
      <c r="D821" s="137"/>
      <c r="E821" s="137"/>
      <c r="F821" s="137"/>
      <c r="G821" s="137"/>
      <c r="H821" s="137"/>
      <c r="I821" s="137"/>
      <c r="J821" s="137"/>
      <c r="K821" s="137"/>
      <c r="L821" s="137"/>
      <c r="M821" s="137"/>
      <c r="N821" s="137"/>
      <c r="O821" s="137"/>
      <c r="P821" s="137"/>
      <c r="Q821" s="137"/>
      <c r="R821" s="137"/>
      <c r="S821" s="137"/>
      <c r="T821" s="137"/>
      <c r="U821" s="137"/>
      <c r="V821" s="137"/>
      <c r="W821" s="137"/>
    </row>
    <row r="822" spans="1:23" x14ac:dyDescent="0.2">
      <c r="A822" s="137"/>
      <c r="B822" s="137"/>
      <c r="C822" s="137"/>
      <c r="D822" s="137"/>
      <c r="E822" s="137"/>
      <c r="F822" s="137"/>
      <c r="G822" s="137"/>
      <c r="H822" s="137"/>
      <c r="I822" s="137"/>
      <c r="J822" s="137"/>
      <c r="K822" s="137"/>
      <c r="L822" s="137"/>
      <c r="M822" s="137"/>
      <c r="N822" s="137"/>
      <c r="O822" s="137"/>
      <c r="P822" s="137"/>
      <c r="Q822" s="137"/>
      <c r="R822" s="137"/>
      <c r="S822" s="137"/>
      <c r="T822" s="137"/>
      <c r="U822" s="137"/>
      <c r="V822" s="137"/>
      <c r="W822" s="137"/>
    </row>
    <row r="823" spans="1:23" x14ac:dyDescent="0.2">
      <c r="A823" s="137"/>
      <c r="B823" s="137"/>
      <c r="C823" s="137"/>
      <c r="D823" s="137"/>
      <c r="E823" s="137"/>
      <c r="F823" s="137"/>
      <c r="G823" s="137"/>
      <c r="H823" s="137"/>
      <c r="I823" s="137"/>
      <c r="J823" s="137"/>
      <c r="K823" s="137"/>
      <c r="L823" s="137"/>
      <c r="M823" s="137"/>
      <c r="N823" s="137"/>
      <c r="O823" s="137"/>
      <c r="P823" s="137"/>
      <c r="Q823" s="137"/>
      <c r="R823" s="137"/>
      <c r="S823" s="137"/>
      <c r="T823" s="137"/>
      <c r="U823" s="137"/>
      <c r="V823" s="137"/>
      <c r="W823" s="137"/>
    </row>
    <row r="824" spans="1:23" x14ac:dyDescent="0.2">
      <c r="A824" s="137"/>
      <c r="B824" s="137"/>
      <c r="C824" s="137"/>
      <c r="D824" s="137"/>
      <c r="E824" s="137"/>
      <c r="F824" s="137"/>
      <c r="G824" s="137"/>
      <c r="H824" s="137"/>
      <c r="I824" s="137"/>
      <c r="J824" s="137"/>
      <c r="K824" s="137"/>
      <c r="L824" s="137"/>
      <c r="M824" s="137"/>
      <c r="N824" s="137"/>
      <c r="O824" s="137"/>
      <c r="P824" s="137"/>
      <c r="Q824" s="137"/>
      <c r="R824" s="137"/>
      <c r="S824" s="137"/>
      <c r="T824" s="137"/>
      <c r="U824" s="137"/>
      <c r="V824" s="137"/>
      <c r="W824" s="137"/>
    </row>
    <row r="825" spans="1:23" x14ac:dyDescent="0.2">
      <c r="A825" s="137"/>
      <c r="B825" s="137"/>
      <c r="C825" s="137"/>
      <c r="D825" s="137"/>
      <c r="E825" s="137"/>
      <c r="F825" s="137"/>
      <c r="G825" s="137"/>
      <c r="H825" s="137"/>
      <c r="I825" s="137"/>
      <c r="J825" s="137"/>
      <c r="K825" s="137"/>
      <c r="L825" s="137"/>
      <c r="M825" s="137"/>
      <c r="N825" s="137"/>
      <c r="O825" s="137"/>
      <c r="P825" s="137"/>
      <c r="Q825" s="137"/>
      <c r="R825" s="137"/>
      <c r="S825" s="137"/>
      <c r="T825" s="137"/>
      <c r="U825" s="137"/>
      <c r="V825" s="137"/>
      <c r="W825" s="137"/>
    </row>
    <row r="826" spans="1:23" x14ac:dyDescent="0.2">
      <c r="A826" s="137"/>
      <c r="B826" s="137"/>
      <c r="C826" s="137"/>
      <c r="D826" s="137"/>
      <c r="E826" s="137"/>
      <c r="F826" s="137"/>
      <c r="G826" s="137"/>
      <c r="H826" s="137"/>
      <c r="I826" s="137"/>
      <c r="J826" s="137"/>
      <c r="K826" s="137"/>
      <c r="L826" s="137"/>
      <c r="M826" s="137"/>
      <c r="N826" s="137"/>
      <c r="O826" s="137"/>
      <c r="P826" s="137"/>
      <c r="Q826" s="137"/>
      <c r="R826" s="137"/>
      <c r="S826" s="137"/>
      <c r="T826" s="137"/>
      <c r="U826" s="137"/>
      <c r="V826" s="137"/>
      <c r="W826" s="137"/>
    </row>
    <row r="827" spans="1:23" x14ac:dyDescent="0.2">
      <c r="A827" s="137"/>
      <c r="B827" s="137"/>
      <c r="C827" s="137"/>
      <c r="D827" s="137"/>
      <c r="E827" s="137"/>
      <c r="F827" s="137"/>
      <c r="G827" s="137"/>
      <c r="H827" s="137"/>
      <c r="I827" s="137"/>
      <c r="J827" s="137"/>
      <c r="K827" s="137"/>
      <c r="L827" s="137"/>
      <c r="M827" s="137"/>
      <c r="N827" s="137"/>
      <c r="O827" s="137"/>
      <c r="P827" s="137"/>
      <c r="Q827" s="137"/>
      <c r="R827" s="137"/>
      <c r="S827" s="137"/>
      <c r="T827" s="137"/>
      <c r="U827" s="137"/>
      <c r="V827" s="137"/>
      <c r="W827" s="137"/>
    </row>
    <row r="828" spans="1:23" x14ac:dyDescent="0.2">
      <c r="A828" s="137"/>
      <c r="B828" s="137"/>
      <c r="C828" s="137"/>
      <c r="D828" s="137"/>
      <c r="E828" s="137"/>
      <c r="F828" s="137"/>
      <c r="G828" s="137"/>
      <c r="H828" s="137"/>
      <c r="I828" s="137"/>
      <c r="J828" s="137"/>
      <c r="K828" s="137"/>
      <c r="L828" s="137"/>
      <c r="M828" s="137"/>
      <c r="N828" s="137"/>
      <c r="O828" s="137"/>
      <c r="P828" s="137"/>
      <c r="Q828" s="137"/>
      <c r="R828" s="137"/>
      <c r="S828" s="137"/>
      <c r="T828" s="137"/>
      <c r="U828" s="137"/>
      <c r="V828" s="137"/>
      <c r="W828" s="137"/>
    </row>
    <row r="829" spans="1:23" x14ac:dyDescent="0.2">
      <c r="A829" s="137"/>
      <c r="B829" s="137"/>
      <c r="C829" s="137"/>
      <c r="D829" s="137"/>
      <c r="E829" s="137"/>
      <c r="F829" s="137"/>
      <c r="G829" s="137"/>
      <c r="H829" s="137"/>
      <c r="I829" s="137"/>
      <c r="J829" s="137"/>
      <c r="K829" s="137"/>
      <c r="L829" s="137"/>
      <c r="M829" s="137"/>
      <c r="N829" s="137"/>
      <c r="O829" s="137"/>
      <c r="P829" s="137"/>
      <c r="Q829" s="137"/>
      <c r="R829" s="137"/>
      <c r="S829" s="137"/>
      <c r="T829" s="137"/>
      <c r="U829" s="137"/>
      <c r="V829" s="137"/>
      <c r="W829" s="137"/>
    </row>
    <row r="830" spans="1:23" x14ac:dyDescent="0.2">
      <c r="A830" s="137"/>
      <c r="B830" s="137"/>
      <c r="C830" s="137"/>
      <c r="D830" s="137"/>
      <c r="E830" s="137"/>
      <c r="F830" s="137"/>
      <c r="G830" s="137"/>
      <c r="H830" s="137"/>
      <c r="I830" s="137"/>
      <c r="J830" s="137"/>
      <c r="K830" s="137"/>
      <c r="L830" s="137"/>
      <c r="M830" s="137"/>
      <c r="N830" s="137"/>
      <c r="O830" s="137"/>
      <c r="P830" s="137"/>
      <c r="Q830" s="137"/>
      <c r="R830" s="137"/>
      <c r="S830" s="137"/>
      <c r="T830" s="137"/>
      <c r="U830" s="137"/>
      <c r="V830" s="137"/>
      <c r="W830" s="137"/>
    </row>
    <row r="831" spans="1:23" x14ac:dyDescent="0.2">
      <c r="A831" s="137"/>
      <c r="B831" s="137"/>
      <c r="C831" s="137"/>
      <c r="D831" s="137"/>
      <c r="E831" s="137"/>
      <c r="F831" s="137"/>
      <c r="G831" s="137"/>
      <c r="H831" s="137"/>
      <c r="I831" s="137"/>
      <c r="J831" s="137"/>
      <c r="K831" s="137"/>
      <c r="L831" s="137"/>
      <c r="M831" s="137"/>
      <c r="N831" s="137"/>
      <c r="O831" s="137"/>
      <c r="P831" s="137"/>
      <c r="Q831" s="137"/>
      <c r="R831" s="137"/>
      <c r="S831" s="137"/>
      <c r="T831" s="137"/>
      <c r="U831" s="137"/>
      <c r="V831" s="137"/>
      <c r="W831" s="137"/>
    </row>
    <row r="832" spans="1:23" x14ac:dyDescent="0.2">
      <c r="A832" s="137"/>
      <c r="B832" s="137"/>
      <c r="C832" s="137"/>
      <c r="D832" s="137"/>
      <c r="E832" s="137"/>
      <c r="F832" s="137"/>
      <c r="G832" s="137"/>
      <c r="H832" s="137"/>
      <c r="I832" s="137"/>
      <c r="J832" s="137"/>
      <c r="K832" s="137"/>
      <c r="L832" s="137"/>
      <c r="M832" s="137"/>
      <c r="N832" s="137"/>
      <c r="O832" s="137"/>
      <c r="P832" s="137"/>
      <c r="Q832" s="137"/>
      <c r="R832" s="137"/>
      <c r="S832" s="137"/>
      <c r="T832" s="137"/>
      <c r="U832" s="137"/>
      <c r="V832" s="137"/>
      <c r="W832" s="137"/>
    </row>
    <row r="833" spans="1:23" x14ac:dyDescent="0.2">
      <c r="A833" s="137"/>
      <c r="B833" s="137"/>
      <c r="C833" s="137"/>
      <c r="D833" s="137"/>
      <c r="E833" s="137"/>
      <c r="F833" s="137"/>
      <c r="G833" s="137"/>
      <c r="H833" s="137"/>
      <c r="I833" s="137"/>
      <c r="J833" s="137"/>
      <c r="K833" s="137"/>
      <c r="L833" s="137"/>
      <c r="M833" s="137"/>
      <c r="N833" s="137"/>
      <c r="O833" s="137"/>
      <c r="P833" s="137"/>
      <c r="Q833" s="137"/>
      <c r="R833" s="137"/>
      <c r="S833" s="137"/>
      <c r="T833" s="137"/>
      <c r="U833" s="137"/>
      <c r="V833" s="137"/>
      <c r="W833" s="137"/>
    </row>
    <row r="834" spans="1:23" x14ac:dyDescent="0.2">
      <c r="A834" s="137"/>
      <c r="B834" s="137"/>
      <c r="C834" s="137"/>
      <c r="D834" s="137"/>
      <c r="E834" s="137"/>
      <c r="F834" s="137"/>
      <c r="G834" s="137"/>
      <c r="H834" s="137"/>
      <c r="I834" s="137"/>
      <c r="J834" s="137"/>
      <c r="K834" s="137"/>
      <c r="L834" s="137"/>
      <c r="M834" s="137"/>
      <c r="N834" s="137"/>
      <c r="O834" s="137"/>
      <c r="P834" s="137"/>
      <c r="Q834" s="137"/>
      <c r="R834" s="137"/>
      <c r="S834" s="137"/>
      <c r="T834" s="137"/>
      <c r="U834" s="137"/>
      <c r="V834" s="137"/>
      <c r="W834" s="137"/>
    </row>
    <row r="835" spans="1:23" x14ac:dyDescent="0.2">
      <c r="A835" s="137"/>
      <c r="B835" s="137"/>
      <c r="C835" s="137"/>
      <c r="D835" s="137"/>
      <c r="E835" s="137"/>
      <c r="F835" s="137"/>
      <c r="G835" s="137"/>
      <c r="H835" s="137"/>
      <c r="I835" s="137"/>
      <c r="J835" s="137"/>
      <c r="K835" s="137"/>
      <c r="L835" s="137"/>
      <c r="M835" s="137"/>
      <c r="N835" s="137"/>
      <c r="O835" s="137"/>
      <c r="P835" s="137"/>
      <c r="Q835" s="137"/>
      <c r="R835" s="137"/>
      <c r="S835" s="137"/>
      <c r="T835" s="137"/>
      <c r="U835" s="137"/>
      <c r="V835" s="137"/>
      <c r="W835" s="137"/>
    </row>
    <row r="836" spans="1:23" x14ac:dyDescent="0.2">
      <c r="A836" s="137"/>
      <c r="B836" s="137"/>
      <c r="C836" s="137"/>
      <c r="D836" s="137"/>
      <c r="E836" s="137"/>
      <c r="F836" s="137"/>
      <c r="G836" s="137"/>
      <c r="H836" s="137"/>
      <c r="I836" s="137"/>
      <c r="J836" s="137"/>
      <c r="K836" s="137"/>
      <c r="L836" s="137"/>
      <c r="M836" s="137"/>
      <c r="N836" s="137"/>
      <c r="O836" s="137"/>
      <c r="P836" s="137"/>
      <c r="Q836" s="137"/>
      <c r="R836" s="137"/>
      <c r="S836" s="137"/>
      <c r="T836" s="137"/>
      <c r="U836" s="137"/>
      <c r="V836" s="137"/>
      <c r="W836" s="137"/>
    </row>
    <row r="837" spans="1:23" x14ac:dyDescent="0.2">
      <c r="A837" s="137"/>
      <c r="B837" s="137"/>
      <c r="C837" s="137"/>
      <c r="D837" s="137"/>
      <c r="E837" s="137"/>
      <c r="F837" s="137"/>
      <c r="G837" s="137"/>
      <c r="H837" s="137"/>
      <c r="I837" s="137"/>
      <c r="J837" s="137"/>
      <c r="K837" s="137"/>
      <c r="L837" s="137"/>
      <c r="M837" s="137"/>
      <c r="N837" s="137"/>
      <c r="O837" s="137"/>
      <c r="P837" s="137"/>
      <c r="Q837" s="137"/>
      <c r="R837" s="137"/>
      <c r="S837" s="137"/>
      <c r="T837" s="137"/>
      <c r="U837" s="137"/>
      <c r="V837" s="137"/>
      <c r="W837" s="137"/>
    </row>
    <row r="838" spans="1:23" x14ac:dyDescent="0.2">
      <c r="A838" s="137"/>
      <c r="B838" s="137"/>
      <c r="C838" s="137"/>
      <c r="D838" s="137"/>
      <c r="E838" s="137"/>
      <c r="F838" s="137"/>
      <c r="G838" s="137"/>
      <c r="H838" s="137"/>
      <c r="I838" s="137"/>
      <c r="J838" s="137"/>
      <c r="K838" s="137"/>
      <c r="L838" s="137"/>
      <c r="M838" s="137"/>
      <c r="N838" s="137"/>
      <c r="O838" s="137"/>
      <c r="P838" s="137"/>
      <c r="Q838" s="137"/>
      <c r="R838" s="137"/>
      <c r="S838" s="137"/>
      <c r="T838" s="137"/>
      <c r="U838" s="137"/>
      <c r="V838" s="137"/>
      <c r="W838" s="137"/>
    </row>
    <row r="839" spans="1:23" x14ac:dyDescent="0.2">
      <c r="A839" s="137"/>
      <c r="B839" s="137"/>
      <c r="C839" s="137"/>
      <c r="D839" s="137"/>
      <c r="E839" s="137"/>
      <c r="F839" s="137"/>
      <c r="G839" s="137"/>
      <c r="H839" s="137"/>
      <c r="I839" s="137"/>
      <c r="J839" s="137"/>
      <c r="K839" s="137"/>
      <c r="L839" s="137"/>
      <c r="M839" s="137"/>
      <c r="N839" s="137"/>
      <c r="O839" s="137"/>
      <c r="P839" s="137"/>
      <c r="Q839" s="137"/>
      <c r="R839" s="137"/>
      <c r="S839" s="137"/>
      <c r="T839" s="137"/>
      <c r="U839" s="137"/>
      <c r="V839" s="137"/>
      <c r="W839" s="137"/>
    </row>
    <row r="840" spans="1:23" x14ac:dyDescent="0.2">
      <c r="A840" s="137"/>
      <c r="B840" s="137"/>
      <c r="C840" s="137"/>
      <c r="D840" s="137"/>
      <c r="E840" s="137"/>
      <c r="F840" s="137"/>
      <c r="G840" s="137"/>
      <c r="H840" s="137"/>
      <c r="I840" s="137"/>
      <c r="J840" s="137"/>
      <c r="K840" s="137"/>
      <c r="L840" s="137"/>
      <c r="M840" s="137"/>
      <c r="N840" s="137"/>
      <c r="O840" s="137"/>
      <c r="P840" s="137"/>
      <c r="Q840" s="137"/>
      <c r="R840" s="137"/>
      <c r="S840" s="137"/>
      <c r="T840" s="137"/>
      <c r="U840" s="137"/>
      <c r="V840" s="137"/>
      <c r="W840" s="137"/>
    </row>
    <row r="841" spans="1:23" x14ac:dyDescent="0.2">
      <c r="A841" s="137"/>
      <c r="B841" s="137"/>
      <c r="C841" s="137"/>
      <c r="D841" s="137"/>
      <c r="E841" s="137"/>
      <c r="F841" s="137"/>
      <c r="G841" s="137"/>
      <c r="H841" s="137"/>
      <c r="I841" s="137"/>
      <c r="J841" s="137"/>
      <c r="K841" s="137"/>
      <c r="L841" s="137"/>
      <c r="M841" s="137"/>
      <c r="N841" s="137"/>
      <c r="O841" s="137"/>
      <c r="P841" s="137"/>
      <c r="Q841" s="137"/>
      <c r="R841" s="137"/>
      <c r="S841" s="137"/>
      <c r="T841" s="137"/>
      <c r="U841" s="137"/>
      <c r="V841" s="137"/>
      <c r="W841" s="137"/>
    </row>
    <row r="842" spans="1:23" x14ac:dyDescent="0.2">
      <c r="A842" s="137"/>
      <c r="B842" s="137"/>
      <c r="C842" s="137"/>
      <c r="D842" s="137"/>
      <c r="E842" s="137"/>
      <c r="F842" s="137"/>
      <c r="G842" s="137"/>
      <c r="H842" s="137"/>
      <c r="I842" s="137"/>
      <c r="J842" s="137"/>
      <c r="K842" s="137"/>
      <c r="L842" s="137"/>
      <c r="M842" s="137"/>
      <c r="N842" s="137"/>
      <c r="O842" s="137"/>
      <c r="P842" s="137"/>
      <c r="Q842" s="137"/>
      <c r="R842" s="137"/>
      <c r="S842" s="137"/>
      <c r="T842" s="137"/>
      <c r="U842" s="137"/>
      <c r="V842" s="137"/>
      <c r="W842" s="137"/>
    </row>
    <row r="843" spans="1:23" x14ac:dyDescent="0.2">
      <c r="A843" s="137"/>
      <c r="B843" s="137"/>
      <c r="C843" s="137"/>
      <c r="D843" s="137"/>
      <c r="E843" s="137"/>
      <c r="F843" s="137"/>
      <c r="G843" s="137"/>
      <c r="H843" s="137"/>
      <c r="I843" s="137"/>
      <c r="J843" s="137"/>
      <c r="K843" s="137"/>
      <c r="L843" s="137"/>
      <c r="M843" s="137"/>
      <c r="N843" s="137"/>
      <c r="O843" s="137"/>
      <c r="P843" s="137"/>
      <c r="Q843" s="137"/>
      <c r="R843" s="137"/>
      <c r="S843" s="137"/>
      <c r="T843" s="137"/>
      <c r="U843" s="137"/>
      <c r="V843" s="137"/>
      <c r="W843" s="137"/>
    </row>
    <row r="844" spans="1:23" x14ac:dyDescent="0.2">
      <c r="A844" s="137"/>
      <c r="B844" s="137"/>
      <c r="C844" s="137"/>
      <c r="D844" s="137"/>
      <c r="E844" s="137"/>
      <c r="F844" s="137"/>
      <c r="G844" s="137"/>
      <c r="H844" s="137"/>
      <c r="I844" s="137"/>
      <c r="J844" s="137"/>
      <c r="K844" s="137"/>
      <c r="L844" s="137"/>
      <c r="M844" s="137"/>
      <c r="N844" s="137"/>
      <c r="O844" s="137"/>
      <c r="P844" s="137"/>
      <c r="Q844" s="137"/>
      <c r="R844" s="137"/>
      <c r="S844" s="137"/>
      <c r="T844" s="137"/>
      <c r="U844" s="137"/>
      <c r="V844" s="137"/>
      <c r="W844" s="137"/>
    </row>
    <row r="845" spans="1:23" x14ac:dyDescent="0.2">
      <c r="A845" s="137"/>
      <c r="B845" s="137"/>
      <c r="C845" s="137"/>
      <c r="D845" s="137"/>
      <c r="E845" s="137"/>
      <c r="F845" s="137"/>
      <c r="G845" s="137"/>
      <c r="H845" s="137"/>
      <c r="I845" s="137"/>
      <c r="J845" s="137"/>
      <c r="K845" s="137"/>
      <c r="L845" s="137"/>
      <c r="M845" s="137"/>
      <c r="N845" s="137"/>
      <c r="O845" s="137"/>
      <c r="P845" s="137"/>
      <c r="Q845" s="137"/>
      <c r="R845" s="137"/>
      <c r="S845" s="137"/>
      <c r="T845" s="137"/>
      <c r="U845" s="137"/>
      <c r="V845" s="137"/>
      <c r="W845" s="137"/>
    </row>
    <row r="846" spans="1:23" x14ac:dyDescent="0.2">
      <c r="A846" s="137"/>
      <c r="B846" s="137"/>
      <c r="C846" s="137"/>
      <c r="D846" s="137"/>
      <c r="E846" s="137"/>
      <c r="F846" s="137"/>
      <c r="G846" s="137"/>
      <c r="H846" s="137"/>
      <c r="I846" s="137"/>
      <c r="J846" s="137"/>
      <c r="K846" s="137"/>
      <c r="L846" s="137"/>
      <c r="M846" s="137"/>
      <c r="N846" s="137"/>
      <c r="O846" s="137"/>
      <c r="P846" s="137"/>
      <c r="Q846" s="137"/>
      <c r="R846" s="137"/>
      <c r="S846" s="137"/>
      <c r="T846" s="137"/>
      <c r="U846" s="137"/>
      <c r="V846" s="137"/>
      <c r="W846" s="137"/>
    </row>
    <row r="847" spans="1:23" x14ac:dyDescent="0.2">
      <c r="A847" s="137"/>
      <c r="B847" s="137"/>
      <c r="C847" s="137"/>
      <c r="D847" s="137"/>
      <c r="E847" s="137"/>
      <c r="F847" s="137"/>
      <c r="G847" s="137"/>
      <c r="H847" s="137"/>
      <c r="I847" s="137"/>
      <c r="J847" s="137"/>
      <c r="K847" s="137"/>
      <c r="L847" s="137"/>
      <c r="M847" s="137"/>
      <c r="N847" s="137"/>
      <c r="O847" s="137"/>
      <c r="P847" s="137"/>
      <c r="Q847" s="137"/>
      <c r="R847" s="137"/>
      <c r="S847" s="137"/>
      <c r="T847" s="137"/>
      <c r="U847" s="137"/>
      <c r="V847" s="137"/>
      <c r="W847" s="137"/>
    </row>
    <row r="848" spans="1:23" x14ac:dyDescent="0.2">
      <c r="A848" s="137"/>
      <c r="B848" s="137"/>
      <c r="C848" s="137"/>
      <c r="D848" s="137"/>
      <c r="E848" s="137"/>
      <c r="F848" s="137"/>
      <c r="G848" s="137"/>
      <c r="H848" s="137"/>
      <c r="I848" s="137"/>
      <c r="J848" s="137"/>
      <c r="K848" s="137"/>
      <c r="L848" s="137"/>
      <c r="M848" s="137"/>
      <c r="N848" s="137"/>
      <c r="O848" s="137"/>
      <c r="P848" s="137"/>
      <c r="Q848" s="137"/>
      <c r="R848" s="137"/>
      <c r="S848" s="137"/>
      <c r="T848" s="137"/>
      <c r="U848" s="137"/>
      <c r="V848" s="137"/>
      <c r="W848" s="137"/>
    </row>
    <row r="849" spans="1:23" x14ac:dyDescent="0.2">
      <c r="A849" s="137"/>
      <c r="B849" s="137"/>
      <c r="C849" s="137"/>
      <c r="D849" s="137"/>
      <c r="E849" s="137"/>
      <c r="F849" s="137"/>
      <c r="G849" s="137"/>
      <c r="H849" s="137"/>
      <c r="I849" s="137"/>
      <c r="J849" s="137"/>
      <c r="K849" s="137"/>
      <c r="L849" s="137"/>
      <c r="M849" s="137"/>
      <c r="N849" s="137"/>
      <c r="O849" s="137"/>
      <c r="P849" s="137"/>
      <c r="Q849" s="137"/>
      <c r="R849" s="137"/>
      <c r="S849" s="137"/>
      <c r="T849" s="137"/>
      <c r="U849" s="137"/>
      <c r="V849" s="137"/>
      <c r="W849" s="137"/>
    </row>
    <row r="850" spans="1:23" x14ac:dyDescent="0.2">
      <c r="A850" s="137"/>
      <c r="B850" s="137"/>
      <c r="C850" s="137"/>
      <c r="D850" s="137"/>
      <c r="E850" s="137"/>
      <c r="F850" s="137"/>
      <c r="G850" s="137"/>
      <c r="H850" s="137"/>
      <c r="I850" s="137"/>
      <c r="J850" s="137"/>
      <c r="K850" s="137"/>
      <c r="L850" s="137"/>
      <c r="M850" s="137"/>
      <c r="N850" s="137"/>
      <c r="O850" s="137"/>
      <c r="P850" s="137"/>
      <c r="Q850" s="137"/>
      <c r="R850" s="137"/>
      <c r="S850" s="137"/>
      <c r="T850" s="137"/>
      <c r="U850" s="137"/>
      <c r="V850" s="137"/>
      <c r="W850" s="137"/>
    </row>
    <row r="851" spans="1:23" x14ac:dyDescent="0.2">
      <c r="A851" s="137"/>
      <c r="B851" s="137"/>
      <c r="C851" s="137"/>
      <c r="D851" s="137"/>
      <c r="E851" s="137"/>
      <c r="F851" s="137"/>
      <c r="G851" s="137"/>
      <c r="H851" s="137"/>
      <c r="I851" s="137"/>
      <c r="J851" s="137"/>
      <c r="K851" s="137"/>
      <c r="L851" s="137"/>
      <c r="M851" s="137"/>
      <c r="N851" s="137"/>
      <c r="O851" s="137"/>
      <c r="P851" s="137"/>
      <c r="Q851" s="137"/>
      <c r="R851" s="137"/>
      <c r="S851" s="137"/>
      <c r="T851" s="137"/>
      <c r="U851" s="137"/>
      <c r="V851" s="137"/>
      <c r="W851" s="137"/>
    </row>
    <row r="852" spans="1:23" x14ac:dyDescent="0.2">
      <c r="A852" s="137"/>
      <c r="B852" s="137"/>
      <c r="C852" s="137"/>
      <c r="D852" s="137"/>
      <c r="E852" s="137"/>
      <c r="F852" s="137"/>
      <c r="G852" s="137"/>
      <c r="H852" s="137"/>
      <c r="I852" s="137"/>
      <c r="J852" s="137"/>
      <c r="K852" s="137"/>
      <c r="L852" s="137"/>
      <c r="M852" s="137"/>
      <c r="N852" s="137"/>
      <c r="O852" s="137"/>
      <c r="P852" s="137"/>
      <c r="Q852" s="137"/>
      <c r="R852" s="137"/>
      <c r="S852" s="137"/>
      <c r="T852" s="137"/>
      <c r="U852" s="137"/>
      <c r="V852" s="137"/>
      <c r="W852" s="137"/>
    </row>
    <row r="853" spans="1:23" x14ac:dyDescent="0.2">
      <c r="A853" s="137"/>
      <c r="B853" s="137"/>
      <c r="C853" s="137"/>
      <c r="D853" s="137"/>
      <c r="E853" s="137"/>
      <c r="F853" s="137"/>
      <c r="G853" s="137"/>
      <c r="H853" s="137"/>
      <c r="I853" s="137"/>
      <c r="J853" s="137"/>
      <c r="K853" s="137"/>
      <c r="L853" s="137"/>
      <c r="M853" s="137"/>
      <c r="N853" s="137"/>
      <c r="O853" s="137"/>
      <c r="P853" s="137"/>
      <c r="Q853" s="137"/>
      <c r="R853" s="137"/>
      <c r="S853" s="137"/>
      <c r="T853" s="137"/>
      <c r="U853" s="137"/>
      <c r="V853" s="137"/>
      <c r="W853" s="137"/>
    </row>
    <row r="854" spans="1:23" x14ac:dyDescent="0.2">
      <c r="A854" s="137"/>
      <c r="B854" s="137"/>
      <c r="C854" s="137"/>
      <c r="D854" s="137"/>
      <c r="E854" s="137"/>
      <c r="F854" s="137"/>
      <c r="G854" s="137"/>
      <c r="H854" s="137"/>
      <c r="I854" s="137"/>
      <c r="J854" s="137"/>
      <c r="K854" s="137"/>
      <c r="L854" s="137"/>
      <c r="M854" s="137"/>
      <c r="N854" s="137"/>
      <c r="O854" s="137"/>
      <c r="P854" s="137"/>
      <c r="Q854" s="137"/>
      <c r="R854" s="137"/>
      <c r="S854" s="137"/>
      <c r="T854" s="137"/>
      <c r="U854" s="137"/>
      <c r="V854" s="137"/>
      <c r="W854" s="137"/>
    </row>
    <row r="855" spans="1:23" x14ac:dyDescent="0.2">
      <c r="A855" s="137"/>
      <c r="B855" s="137"/>
      <c r="C855" s="137"/>
      <c r="D855" s="137"/>
      <c r="E855" s="137"/>
      <c r="F855" s="137"/>
      <c r="G855" s="137"/>
      <c r="H855" s="137"/>
      <c r="I855" s="137"/>
      <c r="J855" s="137"/>
      <c r="K855" s="137"/>
      <c r="L855" s="137"/>
      <c r="M855" s="137"/>
      <c r="N855" s="137"/>
      <c r="O855" s="137"/>
      <c r="P855" s="137"/>
      <c r="Q855" s="137"/>
      <c r="R855" s="137"/>
      <c r="S855" s="137"/>
      <c r="T855" s="137"/>
      <c r="U855" s="137"/>
      <c r="V855" s="137"/>
      <c r="W855" s="137"/>
    </row>
    <row r="856" spans="1:23" x14ac:dyDescent="0.2">
      <c r="A856" s="137"/>
      <c r="B856" s="137"/>
      <c r="C856" s="137"/>
      <c r="D856" s="137"/>
      <c r="E856" s="137"/>
      <c r="F856" s="137"/>
      <c r="G856" s="137"/>
      <c r="H856" s="137"/>
      <c r="I856" s="137"/>
      <c r="J856" s="137"/>
      <c r="K856" s="137"/>
      <c r="L856" s="137"/>
      <c r="M856" s="137"/>
      <c r="N856" s="137"/>
      <c r="O856" s="137"/>
      <c r="P856" s="137"/>
      <c r="Q856" s="137"/>
      <c r="R856" s="137"/>
      <c r="S856" s="137"/>
      <c r="T856" s="137"/>
      <c r="U856" s="137"/>
      <c r="V856" s="137"/>
      <c r="W856" s="137"/>
    </row>
    <row r="857" spans="1:23" x14ac:dyDescent="0.2">
      <c r="A857" s="137"/>
      <c r="B857" s="137"/>
      <c r="C857" s="137"/>
      <c r="D857" s="137"/>
      <c r="E857" s="137"/>
      <c r="F857" s="137"/>
      <c r="G857" s="137"/>
      <c r="H857" s="137"/>
      <c r="I857" s="137"/>
      <c r="J857" s="137"/>
      <c r="K857" s="137"/>
      <c r="L857" s="137"/>
      <c r="M857" s="137"/>
      <c r="N857" s="137"/>
      <c r="O857" s="137"/>
      <c r="P857" s="137"/>
      <c r="Q857" s="137"/>
      <c r="R857" s="137"/>
      <c r="S857" s="137"/>
      <c r="T857" s="137"/>
      <c r="U857" s="137"/>
      <c r="V857" s="137"/>
      <c r="W857" s="137"/>
    </row>
    <row r="858" spans="1:23" x14ac:dyDescent="0.2">
      <c r="A858" s="137"/>
      <c r="B858" s="137"/>
      <c r="C858" s="137"/>
      <c r="D858" s="137"/>
      <c r="E858" s="137"/>
      <c r="F858" s="137"/>
      <c r="G858" s="137"/>
      <c r="H858" s="137"/>
      <c r="I858" s="137"/>
      <c r="J858" s="137"/>
      <c r="K858" s="137"/>
      <c r="L858" s="137"/>
      <c r="M858" s="137"/>
      <c r="N858" s="137"/>
      <c r="O858" s="137"/>
      <c r="P858" s="137"/>
      <c r="Q858" s="137"/>
      <c r="R858" s="137"/>
      <c r="S858" s="137"/>
      <c r="T858" s="137"/>
      <c r="U858" s="137"/>
      <c r="V858" s="137"/>
      <c r="W858" s="137"/>
    </row>
    <row r="859" spans="1:23" x14ac:dyDescent="0.2">
      <c r="A859" s="137"/>
      <c r="B859" s="137"/>
      <c r="C859" s="137"/>
      <c r="D859" s="137"/>
      <c r="E859" s="137"/>
      <c r="F859" s="137"/>
      <c r="G859" s="137"/>
      <c r="H859" s="137"/>
      <c r="I859" s="137"/>
      <c r="J859" s="137"/>
      <c r="K859" s="137"/>
      <c r="L859" s="137"/>
      <c r="M859" s="137"/>
      <c r="N859" s="137"/>
      <c r="O859" s="137"/>
      <c r="P859" s="137"/>
      <c r="Q859" s="137"/>
      <c r="R859" s="137"/>
      <c r="S859" s="137"/>
      <c r="T859" s="137"/>
      <c r="U859" s="137"/>
      <c r="V859" s="137"/>
      <c r="W859" s="137"/>
    </row>
    <row r="860" spans="1:23" x14ac:dyDescent="0.2">
      <c r="A860" s="137"/>
      <c r="B860" s="137"/>
      <c r="C860" s="137"/>
      <c r="D860" s="137"/>
      <c r="E860" s="137"/>
      <c r="F860" s="137"/>
      <c r="G860" s="137"/>
      <c r="H860" s="137"/>
      <c r="I860" s="137"/>
      <c r="J860" s="137"/>
      <c r="K860" s="137"/>
      <c r="L860" s="137"/>
      <c r="M860" s="137"/>
      <c r="N860" s="137"/>
      <c r="O860" s="137"/>
      <c r="P860" s="137"/>
      <c r="Q860" s="137"/>
      <c r="R860" s="137"/>
      <c r="S860" s="137"/>
      <c r="T860" s="137"/>
      <c r="U860" s="137"/>
      <c r="V860" s="137"/>
      <c r="W860" s="137"/>
    </row>
    <row r="861" spans="1:23" x14ac:dyDescent="0.2">
      <c r="A861" s="137"/>
      <c r="B861" s="137"/>
      <c r="C861" s="137"/>
      <c r="D861" s="137"/>
      <c r="E861" s="137"/>
      <c r="F861" s="137"/>
      <c r="G861" s="137"/>
      <c r="H861" s="137"/>
      <c r="I861" s="137"/>
      <c r="J861" s="137"/>
      <c r="K861" s="137"/>
      <c r="L861" s="137"/>
      <c r="M861" s="137"/>
      <c r="N861" s="137"/>
      <c r="O861" s="137"/>
      <c r="P861" s="137"/>
      <c r="Q861" s="137"/>
      <c r="R861" s="137"/>
      <c r="S861" s="137"/>
      <c r="T861" s="137"/>
      <c r="U861" s="137"/>
      <c r="V861" s="137"/>
      <c r="W861" s="137"/>
    </row>
    <row r="862" spans="1:23" x14ac:dyDescent="0.2">
      <c r="A862" s="137"/>
      <c r="B862" s="137"/>
      <c r="C862" s="137"/>
      <c r="D862" s="137"/>
      <c r="E862" s="137"/>
      <c r="F862" s="137"/>
      <c r="G862" s="137"/>
      <c r="H862" s="137"/>
      <c r="I862" s="137"/>
      <c r="J862" s="137"/>
      <c r="K862" s="137"/>
      <c r="L862" s="137"/>
      <c r="M862" s="137"/>
      <c r="N862" s="137"/>
      <c r="O862" s="137"/>
      <c r="P862" s="137"/>
      <c r="Q862" s="137"/>
      <c r="R862" s="137"/>
      <c r="S862" s="137"/>
      <c r="T862" s="137"/>
      <c r="U862" s="137"/>
      <c r="V862" s="137"/>
      <c r="W862" s="137"/>
    </row>
    <row r="863" spans="1:23" x14ac:dyDescent="0.2">
      <c r="A863" s="137"/>
      <c r="B863" s="137"/>
      <c r="C863" s="137"/>
      <c r="D863" s="137"/>
      <c r="E863" s="137"/>
      <c r="F863" s="137"/>
      <c r="G863" s="137"/>
      <c r="H863" s="137"/>
      <c r="I863" s="137"/>
      <c r="J863" s="137"/>
      <c r="K863" s="137"/>
      <c r="L863" s="137"/>
      <c r="M863" s="137"/>
      <c r="N863" s="137"/>
      <c r="O863" s="137"/>
      <c r="P863" s="137"/>
      <c r="Q863" s="137"/>
      <c r="R863" s="137"/>
      <c r="S863" s="137"/>
      <c r="T863" s="137"/>
      <c r="U863" s="137"/>
      <c r="V863" s="137"/>
      <c r="W863" s="137"/>
    </row>
    <row r="864" spans="1:23" x14ac:dyDescent="0.2">
      <c r="A864" s="137"/>
      <c r="B864" s="137"/>
      <c r="C864" s="137"/>
      <c r="D864" s="137"/>
      <c r="E864" s="137"/>
      <c r="F864" s="137"/>
      <c r="G864" s="137"/>
      <c r="H864" s="137"/>
      <c r="I864" s="137"/>
      <c r="J864" s="137"/>
      <c r="K864" s="137"/>
      <c r="L864" s="137"/>
      <c r="M864" s="137"/>
      <c r="N864" s="137"/>
      <c r="O864" s="137"/>
      <c r="P864" s="137"/>
      <c r="Q864" s="137"/>
      <c r="R864" s="137"/>
      <c r="S864" s="137"/>
      <c r="T864" s="137"/>
      <c r="U864" s="137"/>
      <c r="V864" s="137"/>
      <c r="W864" s="137"/>
    </row>
    <row r="865" spans="1:23" x14ac:dyDescent="0.2">
      <c r="A865" s="137"/>
      <c r="B865" s="137"/>
      <c r="C865" s="137"/>
      <c r="D865" s="137"/>
      <c r="E865" s="137"/>
      <c r="F865" s="137"/>
      <c r="G865" s="137"/>
      <c r="H865" s="137"/>
      <c r="I865" s="137"/>
      <c r="J865" s="137"/>
      <c r="K865" s="137"/>
      <c r="L865" s="137"/>
      <c r="M865" s="137"/>
      <c r="N865" s="137"/>
      <c r="O865" s="137"/>
      <c r="P865" s="137"/>
      <c r="Q865" s="137"/>
      <c r="R865" s="137"/>
      <c r="S865" s="137"/>
      <c r="T865" s="137"/>
      <c r="U865" s="137"/>
      <c r="V865" s="137"/>
      <c r="W865" s="137"/>
    </row>
    <row r="866" spans="1:23" x14ac:dyDescent="0.2">
      <c r="A866" s="137"/>
      <c r="B866" s="137"/>
      <c r="C866" s="137"/>
      <c r="D866" s="137"/>
      <c r="E866" s="137"/>
      <c r="F866" s="137"/>
      <c r="G866" s="137"/>
      <c r="H866" s="137"/>
      <c r="I866" s="137"/>
      <c r="J866" s="137"/>
      <c r="K866" s="137"/>
      <c r="L866" s="137"/>
      <c r="M866" s="137"/>
      <c r="N866" s="137"/>
      <c r="O866" s="137"/>
      <c r="P866" s="137"/>
      <c r="Q866" s="137"/>
      <c r="R866" s="137"/>
      <c r="S866" s="137"/>
      <c r="T866" s="137"/>
      <c r="U866" s="137"/>
      <c r="V866" s="137"/>
      <c r="W866" s="137"/>
    </row>
    <row r="867" spans="1:23" x14ac:dyDescent="0.2">
      <c r="A867" s="137"/>
      <c r="B867" s="137"/>
      <c r="C867" s="137"/>
      <c r="D867" s="137"/>
      <c r="E867" s="137"/>
      <c r="F867" s="137"/>
      <c r="G867" s="137"/>
      <c r="H867" s="137"/>
      <c r="I867" s="137"/>
      <c r="J867" s="137"/>
      <c r="K867" s="137"/>
      <c r="L867" s="137"/>
      <c r="M867" s="137"/>
      <c r="N867" s="137"/>
      <c r="O867" s="137"/>
      <c r="P867" s="137"/>
      <c r="Q867" s="137"/>
      <c r="R867" s="137"/>
      <c r="S867" s="137"/>
      <c r="T867" s="137"/>
      <c r="U867" s="137"/>
      <c r="V867" s="137"/>
      <c r="W867" s="137"/>
    </row>
    <row r="868" spans="1:23" x14ac:dyDescent="0.2">
      <c r="A868" s="137"/>
      <c r="B868" s="137"/>
      <c r="C868" s="137"/>
      <c r="D868" s="137"/>
      <c r="E868" s="137"/>
      <c r="F868" s="137"/>
      <c r="G868" s="137"/>
      <c r="H868" s="137"/>
      <c r="I868" s="137"/>
      <c r="J868" s="137"/>
      <c r="K868" s="137"/>
      <c r="L868" s="137"/>
      <c r="M868" s="137"/>
      <c r="N868" s="137"/>
      <c r="O868" s="137"/>
      <c r="P868" s="137"/>
      <c r="Q868" s="137"/>
      <c r="R868" s="137"/>
      <c r="S868" s="137"/>
      <c r="T868" s="137"/>
      <c r="U868" s="137"/>
      <c r="V868" s="137"/>
      <c r="W868" s="137"/>
    </row>
    <row r="869" spans="1:23" x14ac:dyDescent="0.2">
      <c r="A869" s="137"/>
      <c r="B869" s="137"/>
      <c r="C869" s="137"/>
      <c r="D869" s="137"/>
      <c r="E869" s="137"/>
      <c r="F869" s="137"/>
      <c r="G869" s="137"/>
      <c r="H869" s="137"/>
      <c r="I869" s="137"/>
      <c r="J869" s="137"/>
      <c r="K869" s="137"/>
      <c r="L869" s="137"/>
      <c r="M869" s="137"/>
      <c r="N869" s="137"/>
      <c r="O869" s="137"/>
      <c r="P869" s="137"/>
      <c r="Q869" s="137"/>
      <c r="R869" s="137"/>
      <c r="S869" s="137"/>
      <c r="T869" s="137"/>
      <c r="U869" s="137"/>
      <c r="V869" s="137"/>
      <c r="W869" s="137"/>
    </row>
    <row r="870" spans="1:23" x14ac:dyDescent="0.2">
      <c r="A870" s="137"/>
      <c r="B870" s="137"/>
      <c r="C870" s="137"/>
      <c r="D870" s="137"/>
      <c r="E870" s="137"/>
      <c r="F870" s="137"/>
      <c r="G870" s="137"/>
      <c r="H870" s="137"/>
      <c r="I870" s="137"/>
      <c r="J870" s="137"/>
      <c r="K870" s="137"/>
      <c r="L870" s="137"/>
      <c r="M870" s="137"/>
      <c r="N870" s="137"/>
      <c r="O870" s="137"/>
      <c r="P870" s="137"/>
      <c r="Q870" s="137"/>
      <c r="R870" s="137"/>
      <c r="S870" s="137"/>
      <c r="T870" s="137"/>
      <c r="U870" s="137"/>
      <c r="V870" s="137"/>
      <c r="W870" s="137"/>
    </row>
    <row r="871" spans="1:23" x14ac:dyDescent="0.2">
      <c r="A871" s="137"/>
      <c r="B871" s="137"/>
      <c r="C871" s="137"/>
      <c r="D871" s="137"/>
      <c r="E871" s="137"/>
      <c r="F871" s="137"/>
      <c r="G871" s="137"/>
      <c r="H871" s="137"/>
      <c r="I871" s="137"/>
      <c r="J871" s="137"/>
      <c r="K871" s="137"/>
      <c r="L871" s="137"/>
      <c r="M871" s="137"/>
      <c r="N871" s="137"/>
      <c r="O871" s="137"/>
      <c r="P871" s="137"/>
      <c r="Q871" s="137"/>
      <c r="R871" s="137"/>
      <c r="S871" s="137"/>
      <c r="T871" s="137"/>
      <c r="U871" s="137"/>
      <c r="V871" s="137"/>
      <c r="W871" s="137"/>
    </row>
    <row r="872" spans="1:23" x14ac:dyDescent="0.2">
      <c r="A872" s="137"/>
      <c r="B872" s="137"/>
      <c r="C872" s="137"/>
      <c r="D872" s="137"/>
      <c r="E872" s="137"/>
      <c r="F872" s="137"/>
      <c r="G872" s="137"/>
      <c r="H872" s="137"/>
      <c r="I872" s="137"/>
      <c r="J872" s="137"/>
      <c r="K872" s="137"/>
      <c r="L872" s="137"/>
      <c r="M872" s="137"/>
      <c r="N872" s="137"/>
      <c r="O872" s="137"/>
      <c r="P872" s="137"/>
      <c r="Q872" s="137"/>
      <c r="R872" s="137"/>
      <c r="S872" s="137"/>
      <c r="T872" s="137"/>
      <c r="U872" s="137"/>
      <c r="V872" s="137"/>
      <c r="W872" s="137"/>
    </row>
    <row r="873" spans="1:23" x14ac:dyDescent="0.2">
      <c r="A873" s="137"/>
      <c r="B873" s="137"/>
      <c r="C873" s="137"/>
      <c r="D873" s="137"/>
      <c r="E873" s="137"/>
      <c r="F873" s="137"/>
      <c r="G873" s="137"/>
      <c r="H873" s="137"/>
      <c r="I873" s="137"/>
      <c r="J873" s="137"/>
      <c r="K873" s="137"/>
      <c r="L873" s="137"/>
      <c r="M873" s="137"/>
      <c r="N873" s="137"/>
      <c r="O873" s="137"/>
      <c r="P873" s="137"/>
      <c r="Q873" s="137"/>
      <c r="R873" s="137"/>
      <c r="S873" s="137"/>
      <c r="T873" s="137"/>
      <c r="U873" s="137"/>
      <c r="V873" s="137"/>
      <c r="W873" s="137"/>
    </row>
    <row r="874" spans="1:23" x14ac:dyDescent="0.2">
      <c r="A874" s="137"/>
      <c r="B874" s="137"/>
      <c r="C874" s="137"/>
      <c r="D874" s="137"/>
      <c r="E874" s="137"/>
      <c r="F874" s="137"/>
      <c r="G874" s="137"/>
      <c r="H874" s="137"/>
      <c r="I874" s="137"/>
      <c r="J874" s="137"/>
      <c r="K874" s="137"/>
      <c r="L874" s="137"/>
      <c r="M874" s="137"/>
      <c r="N874" s="137"/>
      <c r="O874" s="137"/>
      <c r="P874" s="137"/>
      <c r="Q874" s="137"/>
      <c r="R874" s="137"/>
      <c r="S874" s="137"/>
      <c r="T874" s="137"/>
      <c r="U874" s="137"/>
      <c r="V874" s="137"/>
      <c r="W874" s="137"/>
    </row>
    <row r="875" spans="1:23" x14ac:dyDescent="0.2">
      <c r="A875" s="137"/>
      <c r="B875" s="137"/>
      <c r="C875" s="137"/>
      <c r="D875" s="137"/>
      <c r="E875" s="137"/>
      <c r="F875" s="137"/>
      <c r="G875" s="137"/>
      <c r="H875" s="137"/>
      <c r="I875" s="137"/>
      <c r="J875" s="137"/>
      <c r="K875" s="137"/>
      <c r="L875" s="137"/>
      <c r="M875" s="137"/>
      <c r="N875" s="137"/>
      <c r="O875" s="137"/>
      <c r="P875" s="137"/>
      <c r="Q875" s="137"/>
      <c r="R875" s="137"/>
      <c r="S875" s="137"/>
      <c r="T875" s="137"/>
      <c r="U875" s="137"/>
      <c r="V875" s="137"/>
      <c r="W875" s="137"/>
    </row>
    <row r="876" spans="1:23" x14ac:dyDescent="0.2">
      <c r="A876" s="137"/>
      <c r="B876" s="137"/>
      <c r="C876" s="137"/>
      <c r="D876" s="137"/>
      <c r="E876" s="137"/>
      <c r="F876" s="137"/>
      <c r="G876" s="137"/>
      <c r="H876" s="137"/>
      <c r="I876" s="137"/>
      <c r="J876" s="137"/>
      <c r="K876" s="137"/>
      <c r="L876" s="137"/>
      <c r="M876" s="137"/>
      <c r="N876" s="137"/>
      <c r="O876" s="137"/>
      <c r="P876" s="137"/>
      <c r="Q876" s="137"/>
      <c r="R876" s="137"/>
      <c r="S876" s="137"/>
      <c r="T876" s="137"/>
      <c r="U876" s="137"/>
      <c r="V876" s="137"/>
      <c r="W876" s="137"/>
    </row>
    <row r="877" spans="1:23" x14ac:dyDescent="0.2">
      <c r="A877" s="137"/>
      <c r="B877" s="137"/>
      <c r="C877" s="137"/>
      <c r="D877" s="137"/>
      <c r="E877" s="137"/>
      <c r="F877" s="137"/>
      <c r="G877" s="137"/>
      <c r="H877" s="137"/>
      <c r="I877" s="137"/>
      <c r="J877" s="137"/>
      <c r="K877" s="137"/>
      <c r="L877" s="137"/>
      <c r="M877" s="137"/>
      <c r="N877" s="137"/>
      <c r="O877" s="137"/>
      <c r="P877" s="137"/>
      <c r="Q877" s="137"/>
      <c r="R877" s="137"/>
      <c r="S877" s="137"/>
      <c r="T877" s="137"/>
      <c r="U877" s="137"/>
      <c r="V877" s="137"/>
      <c r="W877" s="137"/>
    </row>
    <row r="878" spans="1:23" x14ac:dyDescent="0.2">
      <c r="A878" s="137"/>
      <c r="B878" s="137"/>
      <c r="C878" s="137"/>
      <c r="D878" s="137"/>
      <c r="E878" s="137"/>
      <c r="F878" s="137"/>
      <c r="G878" s="137"/>
      <c r="H878" s="137"/>
      <c r="I878" s="137"/>
      <c r="J878" s="137"/>
      <c r="K878" s="137"/>
      <c r="L878" s="137"/>
      <c r="M878" s="137"/>
      <c r="N878" s="137"/>
      <c r="O878" s="137"/>
      <c r="P878" s="137"/>
      <c r="Q878" s="137"/>
      <c r="R878" s="137"/>
      <c r="S878" s="137"/>
      <c r="T878" s="137"/>
      <c r="U878" s="137"/>
      <c r="V878" s="137"/>
      <c r="W878" s="137"/>
    </row>
    <row r="879" spans="1:23" x14ac:dyDescent="0.2">
      <c r="A879" s="137"/>
      <c r="B879" s="137"/>
      <c r="C879" s="137"/>
      <c r="D879" s="137"/>
      <c r="E879" s="137"/>
      <c r="F879" s="137"/>
      <c r="G879" s="137"/>
      <c r="H879" s="137"/>
      <c r="I879" s="137"/>
      <c r="J879" s="137"/>
      <c r="K879" s="137"/>
      <c r="L879" s="137"/>
      <c r="M879" s="137"/>
      <c r="N879" s="137"/>
      <c r="O879" s="137"/>
      <c r="P879" s="137"/>
      <c r="Q879" s="137"/>
      <c r="R879" s="137"/>
      <c r="S879" s="137"/>
      <c r="T879" s="137"/>
      <c r="U879" s="137"/>
      <c r="V879" s="137"/>
      <c r="W879" s="137"/>
    </row>
    <row r="880" spans="1:23" x14ac:dyDescent="0.2">
      <c r="A880" s="137"/>
      <c r="B880" s="137"/>
      <c r="C880" s="137"/>
      <c r="D880" s="137"/>
      <c r="E880" s="137"/>
      <c r="F880" s="137"/>
      <c r="G880" s="137"/>
      <c r="H880" s="137"/>
      <c r="I880" s="137"/>
      <c r="J880" s="137"/>
      <c r="K880" s="137"/>
      <c r="L880" s="137"/>
      <c r="M880" s="137"/>
      <c r="N880" s="137"/>
      <c r="O880" s="137"/>
      <c r="P880" s="137"/>
      <c r="Q880" s="137"/>
      <c r="R880" s="137"/>
      <c r="S880" s="137"/>
      <c r="T880" s="137"/>
      <c r="U880" s="137"/>
      <c r="V880" s="137"/>
      <c r="W880" s="137"/>
    </row>
    <row r="881" spans="1:23" x14ac:dyDescent="0.2">
      <c r="A881" s="137"/>
      <c r="B881" s="137"/>
      <c r="C881" s="137"/>
      <c r="D881" s="137"/>
      <c r="E881" s="137"/>
      <c r="F881" s="137"/>
      <c r="G881" s="137"/>
      <c r="H881" s="137"/>
      <c r="I881" s="137"/>
      <c r="J881" s="137"/>
      <c r="K881" s="137"/>
      <c r="L881" s="137"/>
      <c r="M881" s="137"/>
      <c r="N881" s="137"/>
      <c r="O881" s="137"/>
      <c r="P881" s="137"/>
      <c r="Q881" s="137"/>
      <c r="R881" s="137"/>
      <c r="S881" s="137"/>
      <c r="T881" s="137"/>
      <c r="U881" s="137"/>
      <c r="V881" s="137"/>
      <c r="W881" s="137"/>
    </row>
    <row r="882" spans="1:23" x14ac:dyDescent="0.2">
      <c r="A882" s="137"/>
      <c r="B882" s="137"/>
      <c r="C882" s="137"/>
      <c r="D882" s="137"/>
      <c r="E882" s="137"/>
      <c r="F882" s="137"/>
      <c r="G882" s="137"/>
      <c r="H882" s="137"/>
      <c r="I882" s="137"/>
      <c r="J882" s="137"/>
      <c r="K882" s="137"/>
      <c r="L882" s="137"/>
      <c r="M882" s="137"/>
      <c r="N882" s="137"/>
      <c r="O882" s="137"/>
      <c r="P882" s="137"/>
      <c r="Q882" s="137"/>
      <c r="R882" s="137"/>
      <c r="S882" s="137"/>
      <c r="T882" s="137"/>
      <c r="U882" s="137"/>
      <c r="V882" s="137"/>
      <c r="W882" s="137"/>
    </row>
    <row r="883" spans="1:23" x14ac:dyDescent="0.2">
      <c r="A883" s="137"/>
      <c r="B883" s="137"/>
      <c r="C883" s="137"/>
      <c r="D883" s="137"/>
      <c r="E883" s="137"/>
      <c r="F883" s="137"/>
      <c r="G883" s="137"/>
      <c r="H883" s="137"/>
      <c r="I883" s="137"/>
      <c r="J883" s="137"/>
      <c r="K883" s="137"/>
      <c r="L883" s="137"/>
      <c r="M883" s="137"/>
      <c r="N883" s="137"/>
      <c r="O883" s="137"/>
      <c r="P883" s="137"/>
      <c r="Q883" s="137"/>
      <c r="R883" s="137"/>
      <c r="S883" s="137"/>
      <c r="T883" s="137"/>
      <c r="U883" s="137"/>
      <c r="V883" s="137"/>
      <c r="W883" s="137"/>
    </row>
    <row r="884" spans="1:23" x14ac:dyDescent="0.2">
      <c r="A884" s="137"/>
      <c r="B884" s="137"/>
      <c r="C884" s="137"/>
      <c r="D884" s="137"/>
      <c r="E884" s="137"/>
      <c r="F884" s="137"/>
      <c r="G884" s="137"/>
      <c r="H884" s="137"/>
      <c r="I884" s="137"/>
      <c r="J884" s="137"/>
      <c r="K884" s="137"/>
      <c r="L884" s="137"/>
      <c r="M884" s="137"/>
      <c r="N884" s="137"/>
      <c r="O884" s="137"/>
      <c r="P884" s="137"/>
      <c r="Q884" s="137"/>
      <c r="R884" s="137"/>
      <c r="S884" s="137"/>
      <c r="T884" s="137"/>
      <c r="U884" s="137"/>
      <c r="V884" s="137"/>
      <c r="W884" s="137"/>
    </row>
    <row r="885" spans="1:23" x14ac:dyDescent="0.2">
      <c r="A885" s="137"/>
      <c r="B885" s="137"/>
      <c r="C885" s="137"/>
      <c r="D885" s="137"/>
      <c r="E885" s="137"/>
      <c r="F885" s="137"/>
      <c r="G885" s="137"/>
      <c r="H885" s="137"/>
      <c r="I885" s="137"/>
      <c r="J885" s="137"/>
      <c r="K885" s="137"/>
      <c r="L885" s="137"/>
      <c r="M885" s="137"/>
      <c r="N885" s="137"/>
      <c r="O885" s="137"/>
      <c r="P885" s="137"/>
      <c r="Q885" s="137"/>
      <c r="R885" s="137"/>
      <c r="S885" s="137"/>
      <c r="T885" s="137"/>
      <c r="U885" s="137"/>
      <c r="V885" s="137"/>
      <c r="W885" s="137"/>
    </row>
    <row r="886" spans="1:23" x14ac:dyDescent="0.2">
      <c r="A886" s="137"/>
      <c r="B886" s="137"/>
      <c r="C886" s="137"/>
      <c r="D886" s="137"/>
      <c r="E886" s="137"/>
      <c r="F886" s="137"/>
      <c r="G886" s="137"/>
      <c r="H886" s="137"/>
      <c r="I886" s="137"/>
      <c r="J886" s="137"/>
      <c r="K886" s="137"/>
      <c r="L886" s="137"/>
      <c r="M886" s="137"/>
      <c r="N886" s="137"/>
      <c r="O886" s="137"/>
      <c r="P886" s="137"/>
      <c r="Q886" s="137"/>
      <c r="R886" s="137"/>
      <c r="S886" s="137"/>
      <c r="T886" s="137"/>
      <c r="U886" s="137"/>
      <c r="V886" s="137"/>
      <c r="W886" s="137"/>
    </row>
    <row r="887" spans="1:23" x14ac:dyDescent="0.2">
      <c r="A887" s="137"/>
      <c r="B887" s="137"/>
      <c r="C887" s="137"/>
      <c r="D887" s="137"/>
      <c r="E887" s="137"/>
      <c r="F887" s="137"/>
      <c r="G887" s="137"/>
      <c r="H887" s="137"/>
      <c r="I887" s="137"/>
      <c r="J887" s="137"/>
      <c r="K887" s="137"/>
      <c r="L887" s="137"/>
      <c r="M887" s="137"/>
      <c r="N887" s="137"/>
      <c r="O887" s="137"/>
      <c r="P887" s="137"/>
      <c r="Q887" s="137"/>
      <c r="R887" s="137"/>
      <c r="S887" s="137"/>
      <c r="T887" s="137"/>
      <c r="U887" s="137"/>
      <c r="V887" s="137"/>
      <c r="W887" s="137"/>
    </row>
    <row r="888" spans="1:23" x14ac:dyDescent="0.2">
      <c r="A888" s="137"/>
      <c r="B888" s="137"/>
      <c r="C888" s="137"/>
      <c r="D888" s="137"/>
      <c r="E888" s="137"/>
      <c r="F888" s="137"/>
      <c r="G888" s="137"/>
      <c r="H888" s="137"/>
      <c r="I888" s="137"/>
      <c r="J888" s="137"/>
      <c r="K888" s="137"/>
      <c r="L888" s="137"/>
      <c r="M888" s="137"/>
      <c r="N888" s="137"/>
      <c r="O888" s="137"/>
      <c r="P888" s="137"/>
      <c r="Q888" s="137"/>
      <c r="R888" s="137"/>
      <c r="S888" s="137"/>
      <c r="T888" s="137"/>
      <c r="U888" s="137"/>
      <c r="V888" s="137"/>
      <c r="W888" s="137"/>
    </row>
    <row r="889" spans="1:23" x14ac:dyDescent="0.2">
      <c r="A889" s="137"/>
      <c r="B889" s="137"/>
      <c r="C889" s="137"/>
      <c r="D889" s="137"/>
      <c r="E889" s="137"/>
      <c r="F889" s="137"/>
      <c r="G889" s="137"/>
      <c r="H889" s="137"/>
      <c r="I889" s="137"/>
      <c r="J889" s="137"/>
      <c r="K889" s="137"/>
      <c r="L889" s="137"/>
      <c r="M889" s="137"/>
      <c r="N889" s="137"/>
      <c r="O889" s="137"/>
      <c r="P889" s="137"/>
      <c r="Q889" s="137"/>
      <c r="R889" s="137"/>
      <c r="S889" s="137"/>
      <c r="T889" s="137"/>
      <c r="U889" s="137"/>
      <c r="V889" s="137"/>
      <c r="W889" s="137"/>
    </row>
    <row r="890" spans="1:23" x14ac:dyDescent="0.2">
      <c r="A890" s="137"/>
      <c r="B890" s="137"/>
      <c r="C890" s="137"/>
      <c r="D890" s="137"/>
      <c r="E890" s="137"/>
      <c r="F890" s="137"/>
      <c r="G890" s="137"/>
      <c r="H890" s="137"/>
      <c r="I890" s="137"/>
      <c r="J890" s="137"/>
      <c r="K890" s="137"/>
      <c r="L890" s="137"/>
      <c r="M890" s="137"/>
      <c r="N890" s="137"/>
      <c r="O890" s="137"/>
      <c r="P890" s="137"/>
      <c r="Q890" s="137"/>
      <c r="R890" s="137"/>
      <c r="S890" s="137"/>
      <c r="T890" s="137"/>
      <c r="U890" s="137"/>
      <c r="V890" s="137"/>
      <c r="W890" s="137"/>
    </row>
    <row r="891" spans="1:23" x14ac:dyDescent="0.2">
      <c r="A891" s="137"/>
      <c r="B891" s="137"/>
      <c r="C891" s="137"/>
      <c r="D891" s="137"/>
      <c r="E891" s="137"/>
      <c r="F891" s="137"/>
      <c r="G891" s="137"/>
      <c r="H891" s="137"/>
      <c r="I891" s="137"/>
      <c r="J891" s="137"/>
      <c r="K891" s="137"/>
      <c r="L891" s="137"/>
      <c r="M891" s="137"/>
      <c r="N891" s="137"/>
      <c r="O891" s="137"/>
      <c r="P891" s="137"/>
      <c r="Q891" s="137"/>
      <c r="R891" s="137"/>
      <c r="S891" s="137"/>
      <c r="T891" s="137"/>
      <c r="U891" s="137"/>
      <c r="V891" s="137"/>
      <c r="W891" s="137"/>
    </row>
    <row r="892" spans="1:23" x14ac:dyDescent="0.2">
      <c r="A892" s="137"/>
      <c r="B892" s="137"/>
      <c r="C892" s="137"/>
      <c r="D892" s="137"/>
      <c r="E892" s="137"/>
      <c r="F892" s="137"/>
      <c r="G892" s="137"/>
      <c r="H892" s="137"/>
      <c r="I892" s="137"/>
      <c r="J892" s="137"/>
      <c r="K892" s="137"/>
      <c r="L892" s="137"/>
      <c r="M892" s="137"/>
      <c r="N892" s="137"/>
      <c r="O892" s="137"/>
      <c r="P892" s="137"/>
      <c r="Q892" s="137"/>
      <c r="R892" s="137"/>
      <c r="S892" s="137"/>
      <c r="T892" s="137"/>
      <c r="U892" s="137"/>
      <c r="V892" s="137"/>
      <c r="W892" s="137"/>
    </row>
    <row r="893" spans="1:23" x14ac:dyDescent="0.2">
      <c r="A893" s="137"/>
      <c r="B893" s="137"/>
      <c r="C893" s="137"/>
      <c r="D893" s="137"/>
      <c r="E893" s="137"/>
      <c r="F893" s="137"/>
      <c r="G893" s="137"/>
      <c r="H893" s="137"/>
      <c r="I893" s="137"/>
      <c r="J893" s="137"/>
      <c r="K893" s="137"/>
      <c r="L893" s="137"/>
      <c r="M893" s="137"/>
      <c r="N893" s="137"/>
      <c r="O893" s="137"/>
      <c r="P893" s="137"/>
      <c r="Q893" s="137"/>
      <c r="R893" s="137"/>
      <c r="S893" s="137"/>
      <c r="T893" s="137"/>
      <c r="U893" s="137"/>
      <c r="V893" s="137"/>
      <c r="W893" s="137"/>
    </row>
    <row r="894" spans="1:23" x14ac:dyDescent="0.2">
      <c r="A894" s="137"/>
      <c r="B894" s="137"/>
      <c r="C894" s="137"/>
      <c r="D894" s="137"/>
      <c r="E894" s="137"/>
      <c r="F894" s="137"/>
      <c r="G894" s="137"/>
      <c r="H894" s="137"/>
      <c r="I894" s="137"/>
      <c r="J894" s="137"/>
      <c r="K894" s="137"/>
      <c r="L894" s="137"/>
      <c r="M894" s="137"/>
      <c r="N894" s="137"/>
      <c r="O894" s="137"/>
      <c r="P894" s="137"/>
      <c r="Q894" s="137"/>
      <c r="R894" s="137"/>
      <c r="S894" s="137"/>
      <c r="T894" s="137"/>
      <c r="U894" s="137"/>
      <c r="V894" s="137"/>
      <c r="W894" s="137"/>
    </row>
    <row r="895" spans="1:23" x14ac:dyDescent="0.2">
      <c r="A895" s="137"/>
      <c r="B895" s="137"/>
      <c r="C895" s="137"/>
      <c r="D895" s="137"/>
      <c r="E895" s="137"/>
      <c r="F895" s="137"/>
      <c r="G895" s="137"/>
      <c r="H895" s="137"/>
      <c r="I895" s="137"/>
      <c r="J895" s="137"/>
      <c r="K895" s="137"/>
      <c r="L895" s="137"/>
      <c r="M895" s="137"/>
      <c r="N895" s="137"/>
      <c r="O895" s="137"/>
      <c r="P895" s="137"/>
      <c r="Q895" s="137"/>
      <c r="R895" s="137"/>
      <c r="S895" s="137"/>
      <c r="T895" s="137"/>
      <c r="U895" s="137"/>
      <c r="V895" s="137"/>
      <c r="W895" s="137"/>
    </row>
    <row r="896" spans="1:23" x14ac:dyDescent="0.2">
      <c r="A896" s="137"/>
      <c r="B896" s="137"/>
      <c r="C896" s="137"/>
      <c r="D896" s="137"/>
      <c r="E896" s="137"/>
      <c r="F896" s="137"/>
      <c r="G896" s="137"/>
      <c r="H896" s="137"/>
      <c r="I896" s="137"/>
      <c r="J896" s="137"/>
      <c r="K896" s="137"/>
      <c r="L896" s="137"/>
      <c r="M896" s="137"/>
      <c r="N896" s="137"/>
      <c r="O896" s="137"/>
      <c r="P896" s="137"/>
      <c r="Q896" s="137"/>
      <c r="R896" s="137"/>
      <c r="S896" s="137"/>
      <c r="T896" s="137"/>
      <c r="U896" s="137"/>
      <c r="V896" s="137"/>
      <c r="W896" s="137"/>
    </row>
    <row r="897" spans="1:23" x14ac:dyDescent="0.2">
      <c r="A897" s="137"/>
      <c r="B897" s="137"/>
      <c r="C897" s="137"/>
      <c r="D897" s="137"/>
      <c r="E897" s="137"/>
      <c r="F897" s="137"/>
      <c r="G897" s="137"/>
      <c r="H897" s="137"/>
      <c r="I897" s="137"/>
      <c r="J897" s="137"/>
      <c r="K897" s="137"/>
      <c r="L897" s="137"/>
      <c r="M897" s="137"/>
      <c r="N897" s="137"/>
      <c r="O897" s="137"/>
      <c r="P897" s="137"/>
      <c r="Q897" s="137"/>
      <c r="R897" s="137"/>
      <c r="S897" s="137"/>
      <c r="T897" s="137"/>
      <c r="U897" s="137"/>
      <c r="V897" s="137"/>
      <c r="W897" s="137"/>
    </row>
    <row r="898" spans="1:23" x14ac:dyDescent="0.2">
      <c r="A898" s="137"/>
      <c r="B898" s="137"/>
      <c r="C898" s="137"/>
      <c r="D898" s="137"/>
      <c r="E898" s="137"/>
      <c r="F898" s="137"/>
      <c r="G898" s="137"/>
      <c r="H898" s="137"/>
      <c r="I898" s="137"/>
      <c r="J898" s="137"/>
      <c r="K898" s="137"/>
      <c r="L898" s="137"/>
      <c r="M898" s="137"/>
      <c r="N898" s="137"/>
      <c r="O898" s="137"/>
      <c r="P898" s="137"/>
      <c r="Q898" s="137"/>
      <c r="R898" s="137"/>
      <c r="S898" s="137"/>
      <c r="T898" s="137"/>
      <c r="U898" s="137"/>
      <c r="V898" s="137"/>
      <c r="W898" s="137"/>
    </row>
    <row r="899" spans="1:23" x14ac:dyDescent="0.2">
      <c r="A899" s="137"/>
      <c r="B899" s="137"/>
      <c r="C899" s="137"/>
      <c r="D899" s="137"/>
      <c r="E899" s="137"/>
      <c r="F899" s="137"/>
      <c r="G899" s="137"/>
      <c r="H899" s="137"/>
      <c r="I899" s="137"/>
      <c r="J899" s="137"/>
      <c r="K899" s="137"/>
      <c r="L899" s="137"/>
      <c r="M899" s="137"/>
      <c r="N899" s="137"/>
      <c r="O899" s="137"/>
      <c r="P899" s="137"/>
      <c r="Q899" s="137"/>
      <c r="R899" s="137"/>
      <c r="S899" s="137"/>
      <c r="T899" s="137"/>
      <c r="U899" s="137"/>
      <c r="V899" s="137"/>
      <c r="W899" s="137"/>
    </row>
    <row r="900" spans="1:23" x14ac:dyDescent="0.2">
      <c r="A900" s="137"/>
      <c r="B900" s="137"/>
      <c r="C900" s="137"/>
      <c r="D900" s="137"/>
      <c r="E900" s="137"/>
      <c r="F900" s="137"/>
      <c r="G900" s="137"/>
      <c r="H900" s="137"/>
      <c r="I900" s="137"/>
      <c r="J900" s="137"/>
      <c r="K900" s="137"/>
      <c r="L900" s="137"/>
      <c r="M900" s="137"/>
      <c r="N900" s="137"/>
      <c r="O900" s="137"/>
      <c r="P900" s="137"/>
      <c r="Q900" s="137"/>
      <c r="R900" s="137"/>
      <c r="S900" s="137"/>
      <c r="T900" s="137"/>
      <c r="U900" s="137"/>
      <c r="V900" s="137"/>
      <c r="W900" s="137"/>
    </row>
    <row r="901" spans="1:23" x14ac:dyDescent="0.2">
      <c r="A901" s="137"/>
      <c r="B901" s="137"/>
      <c r="C901" s="137"/>
      <c r="D901" s="137"/>
      <c r="E901" s="137"/>
      <c r="F901" s="137"/>
      <c r="G901" s="137"/>
      <c r="H901" s="137"/>
      <c r="I901" s="137"/>
      <c r="J901" s="137"/>
      <c r="K901" s="137"/>
      <c r="L901" s="137"/>
      <c r="M901" s="137"/>
      <c r="N901" s="137"/>
      <c r="O901" s="137"/>
      <c r="P901" s="137"/>
      <c r="Q901" s="137"/>
      <c r="R901" s="137"/>
      <c r="S901" s="137"/>
      <c r="T901" s="137"/>
      <c r="U901" s="137"/>
      <c r="V901" s="137"/>
      <c r="W901" s="137"/>
    </row>
    <row r="902" spans="1:23" x14ac:dyDescent="0.2">
      <c r="A902" s="137"/>
      <c r="B902" s="137"/>
      <c r="C902" s="137"/>
      <c r="D902" s="137"/>
      <c r="E902" s="137"/>
      <c r="F902" s="137"/>
      <c r="G902" s="137"/>
      <c r="H902" s="137"/>
      <c r="I902" s="137"/>
      <c r="J902" s="137"/>
      <c r="K902" s="137"/>
      <c r="L902" s="137"/>
      <c r="M902" s="137"/>
      <c r="N902" s="137"/>
      <c r="O902" s="137"/>
      <c r="P902" s="137"/>
      <c r="Q902" s="137"/>
      <c r="R902" s="137"/>
      <c r="S902" s="137"/>
      <c r="T902" s="137"/>
      <c r="U902" s="137"/>
      <c r="V902" s="137"/>
      <c r="W902" s="137"/>
    </row>
    <row r="903" spans="1:23" x14ac:dyDescent="0.2">
      <c r="A903" s="137"/>
      <c r="B903" s="137"/>
      <c r="C903" s="137"/>
      <c r="D903" s="137"/>
      <c r="E903" s="137"/>
      <c r="F903" s="137"/>
      <c r="G903" s="137"/>
      <c r="H903" s="137"/>
      <c r="I903" s="137"/>
      <c r="J903" s="137"/>
      <c r="K903" s="137"/>
      <c r="L903" s="137"/>
      <c r="M903" s="137"/>
      <c r="N903" s="137"/>
      <c r="O903" s="137"/>
      <c r="P903" s="137"/>
      <c r="Q903" s="137"/>
      <c r="R903" s="137"/>
      <c r="S903" s="137"/>
      <c r="T903" s="137"/>
      <c r="U903" s="137"/>
      <c r="V903" s="137"/>
      <c r="W903" s="137"/>
    </row>
    <row r="904" spans="1:23" x14ac:dyDescent="0.2">
      <c r="A904" s="137"/>
      <c r="B904" s="137"/>
      <c r="C904" s="137"/>
      <c r="D904" s="137"/>
      <c r="E904" s="137"/>
      <c r="F904" s="137"/>
      <c r="G904" s="137"/>
      <c r="H904" s="137"/>
      <c r="I904" s="137"/>
      <c r="J904" s="137"/>
      <c r="K904" s="137"/>
      <c r="L904" s="137"/>
      <c r="M904" s="137"/>
      <c r="N904" s="137"/>
      <c r="O904" s="137"/>
      <c r="P904" s="137"/>
      <c r="Q904" s="137"/>
      <c r="R904" s="137"/>
      <c r="S904" s="137"/>
      <c r="T904" s="137"/>
      <c r="U904" s="137"/>
      <c r="V904" s="137"/>
      <c r="W904" s="137"/>
    </row>
    <row r="905" spans="1:23" x14ac:dyDescent="0.2">
      <c r="A905" s="137"/>
      <c r="B905" s="137"/>
      <c r="C905" s="137"/>
      <c r="D905" s="137"/>
      <c r="E905" s="137"/>
      <c r="F905" s="137"/>
      <c r="G905" s="137"/>
      <c r="H905" s="137"/>
      <c r="I905" s="137"/>
      <c r="J905" s="137"/>
      <c r="K905" s="137"/>
      <c r="L905" s="137"/>
      <c r="M905" s="137"/>
      <c r="N905" s="137"/>
      <c r="O905" s="137"/>
      <c r="P905" s="137"/>
      <c r="Q905" s="137"/>
      <c r="R905" s="137"/>
      <c r="S905" s="137"/>
      <c r="T905" s="137"/>
      <c r="U905" s="137"/>
      <c r="V905" s="137"/>
      <c r="W905" s="137"/>
    </row>
    <row r="906" spans="1:23" x14ac:dyDescent="0.2">
      <c r="A906" s="137"/>
      <c r="B906" s="137"/>
      <c r="C906" s="137"/>
      <c r="D906" s="137"/>
      <c r="E906" s="137"/>
      <c r="F906" s="137"/>
      <c r="G906" s="137"/>
      <c r="H906" s="137"/>
      <c r="I906" s="137"/>
      <c r="J906" s="137"/>
      <c r="K906" s="137"/>
      <c r="L906" s="137"/>
      <c r="M906" s="137"/>
      <c r="N906" s="137"/>
      <c r="O906" s="137"/>
      <c r="P906" s="137"/>
      <c r="Q906" s="137"/>
      <c r="R906" s="137"/>
      <c r="S906" s="137"/>
      <c r="T906" s="137"/>
      <c r="U906" s="137"/>
      <c r="V906" s="137"/>
      <c r="W906" s="137"/>
    </row>
    <row r="907" spans="1:23" x14ac:dyDescent="0.2">
      <c r="A907" s="137"/>
      <c r="B907" s="137"/>
      <c r="C907" s="137"/>
      <c r="D907" s="137"/>
      <c r="E907" s="137"/>
      <c r="F907" s="137"/>
      <c r="G907" s="137"/>
      <c r="H907" s="137"/>
      <c r="I907" s="137"/>
      <c r="J907" s="137"/>
      <c r="K907" s="137"/>
      <c r="L907" s="137"/>
      <c r="M907" s="137"/>
      <c r="N907" s="137"/>
      <c r="O907" s="137"/>
      <c r="P907" s="137"/>
      <c r="Q907" s="137"/>
      <c r="R907" s="137"/>
      <c r="S907" s="137"/>
      <c r="T907" s="137"/>
      <c r="U907" s="137"/>
      <c r="V907" s="137"/>
      <c r="W907" s="137"/>
    </row>
    <row r="908" spans="1:23" x14ac:dyDescent="0.2">
      <c r="A908" s="137"/>
      <c r="B908" s="137"/>
      <c r="C908" s="137"/>
      <c r="D908" s="137"/>
      <c r="E908" s="137"/>
      <c r="F908" s="137"/>
      <c r="G908" s="137"/>
      <c r="H908" s="137"/>
      <c r="I908" s="137"/>
      <c r="J908" s="137"/>
      <c r="K908" s="137"/>
      <c r="L908" s="137"/>
      <c r="M908" s="137"/>
      <c r="N908" s="137"/>
      <c r="O908" s="137"/>
      <c r="P908" s="137"/>
      <c r="Q908" s="137"/>
      <c r="R908" s="137"/>
      <c r="S908" s="137"/>
      <c r="T908" s="137"/>
      <c r="U908" s="137"/>
      <c r="V908" s="137"/>
      <c r="W908" s="137"/>
    </row>
    <row r="909" spans="1:23" x14ac:dyDescent="0.2">
      <c r="A909" s="137"/>
      <c r="B909" s="137"/>
      <c r="C909" s="137"/>
      <c r="D909" s="137"/>
      <c r="E909" s="137"/>
      <c r="F909" s="137"/>
      <c r="G909" s="137"/>
      <c r="H909" s="137"/>
      <c r="I909" s="137"/>
      <c r="J909" s="137"/>
      <c r="K909" s="137"/>
      <c r="L909" s="137"/>
      <c r="M909" s="137"/>
      <c r="N909" s="137"/>
      <c r="O909" s="137"/>
      <c r="P909" s="137"/>
      <c r="Q909" s="137"/>
      <c r="R909" s="137"/>
      <c r="S909" s="137"/>
      <c r="T909" s="137"/>
      <c r="U909" s="137"/>
      <c r="V909" s="137"/>
      <c r="W909" s="137"/>
    </row>
    <row r="910" spans="1:23" x14ac:dyDescent="0.2">
      <c r="A910" s="137"/>
      <c r="B910" s="137"/>
      <c r="C910" s="137"/>
      <c r="D910" s="137"/>
      <c r="E910" s="137"/>
      <c r="F910" s="137"/>
      <c r="G910" s="137"/>
      <c r="H910" s="137"/>
      <c r="I910" s="137"/>
      <c r="J910" s="137"/>
      <c r="K910" s="137"/>
      <c r="L910" s="137"/>
      <c r="M910" s="137"/>
      <c r="N910" s="137"/>
      <c r="O910" s="137"/>
      <c r="P910" s="137"/>
      <c r="Q910" s="137"/>
      <c r="R910" s="137"/>
      <c r="S910" s="137"/>
      <c r="T910" s="137"/>
      <c r="U910" s="137"/>
      <c r="V910" s="137"/>
      <c r="W910" s="137"/>
    </row>
    <row r="911" spans="1:23" x14ac:dyDescent="0.2">
      <c r="A911" s="137"/>
      <c r="B911" s="137"/>
      <c r="C911" s="137"/>
      <c r="D911" s="137"/>
      <c r="E911" s="137"/>
      <c r="F911" s="137"/>
      <c r="G911" s="137"/>
      <c r="H911" s="137"/>
      <c r="I911" s="137"/>
      <c r="J911" s="137"/>
      <c r="K911" s="137"/>
      <c r="L911" s="137"/>
      <c r="M911" s="137"/>
      <c r="N911" s="137"/>
      <c r="O911" s="137"/>
      <c r="P911" s="137"/>
      <c r="Q911" s="137"/>
      <c r="R911" s="137"/>
      <c r="S911" s="137"/>
      <c r="T911" s="137"/>
      <c r="U911" s="137"/>
      <c r="V911" s="137"/>
      <c r="W911" s="137"/>
    </row>
    <row r="912" spans="1:23" x14ac:dyDescent="0.2">
      <c r="A912" s="137"/>
      <c r="B912" s="137"/>
      <c r="C912" s="137"/>
      <c r="D912" s="137"/>
      <c r="E912" s="137"/>
      <c r="F912" s="137"/>
      <c r="G912" s="137"/>
      <c r="H912" s="137"/>
      <c r="I912" s="137"/>
      <c r="J912" s="137"/>
      <c r="K912" s="137"/>
      <c r="L912" s="137"/>
      <c r="M912" s="137"/>
      <c r="N912" s="137"/>
      <c r="O912" s="137"/>
      <c r="P912" s="137"/>
      <c r="Q912" s="137"/>
      <c r="R912" s="137"/>
      <c r="S912" s="137"/>
      <c r="T912" s="137"/>
      <c r="U912" s="137"/>
      <c r="V912" s="137"/>
      <c r="W912" s="137"/>
    </row>
    <row r="913" spans="1:23" x14ac:dyDescent="0.2">
      <c r="A913" s="137"/>
      <c r="B913" s="137"/>
      <c r="C913" s="137"/>
      <c r="D913" s="137"/>
      <c r="E913" s="137"/>
      <c r="F913" s="137"/>
      <c r="G913" s="137"/>
      <c r="H913" s="137"/>
      <c r="I913" s="137"/>
      <c r="J913" s="137"/>
      <c r="K913" s="137"/>
      <c r="L913" s="137"/>
      <c r="M913" s="137"/>
      <c r="N913" s="137"/>
      <c r="O913" s="137"/>
      <c r="P913" s="137"/>
      <c r="Q913" s="137"/>
      <c r="R913" s="137"/>
      <c r="S913" s="137"/>
      <c r="T913" s="137"/>
      <c r="U913" s="137"/>
      <c r="V913" s="137"/>
      <c r="W913" s="137"/>
    </row>
    <row r="914" spans="1:23" x14ac:dyDescent="0.2">
      <c r="A914" s="137"/>
      <c r="B914" s="137"/>
      <c r="C914" s="137"/>
      <c r="D914" s="137"/>
      <c r="E914" s="137"/>
      <c r="F914" s="137"/>
      <c r="G914" s="137"/>
      <c r="H914" s="137"/>
      <c r="I914" s="137"/>
      <c r="J914" s="137"/>
      <c r="K914" s="137"/>
      <c r="L914" s="137"/>
      <c r="M914" s="137"/>
      <c r="N914" s="137"/>
      <c r="O914" s="137"/>
      <c r="P914" s="137"/>
      <c r="Q914" s="137"/>
      <c r="R914" s="137"/>
      <c r="S914" s="137"/>
      <c r="T914" s="137"/>
      <c r="U914" s="137"/>
      <c r="V914" s="137"/>
      <c r="W914" s="137"/>
    </row>
    <row r="915" spans="1:23" x14ac:dyDescent="0.2">
      <c r="A915" s="137"/>
      <c r="B915" s="137"/>
      <c r="C915" s="137"/>
      <c r="D915" s="137"/>
      <c r="E915" s="137"/>
      <c r="F915" s="137"/>
      <c r="G915" s="137"/>
      <c r="H915" s="137"/>
      <c r="I915" s="137"/>
      <c r="J915" s="137"/>
      <c r="K915" s="137"/>
      <c r="L915" s="137"/>
      <c r="M915" s="137"/>
      <c r="N915" s="137"/>
      <c r="O915" s="137"/>
      <c r="P915" s="137"/>
      <c r="Q915" s="137"/>
      <c r="R915" s="137"/>
      <c r="S915" s="137"/>
      <c r="T915" s="137"/>
      <c r="U915" s="137"/>
      <c r="V915" s="137"/>
      <c r="W915" s="137"/>
    </row>
    <row r="916" spans="1:23" x14ac:dyDescent="0.2">
      <c r="A916" s="137"/>
      <c r="B916" s="137"/>
      <c r="C916" s="137"/>
      <c r="D916" s="137"/>
      <c r="E916" s="137"/>
      <c r="F916" s="137"/>
      <c r="G916" s="137"/>
      <c r="H916" s="137"/>
      <c r="I916" s="137"/>
      <c r="J916" s="137"/>
      <c r="K916" s="137"/>
      <c r="L916" s="137"/>
      <c r="M916" s="137"/>
      <c r="N916" s="137"/>
      <c r="O916" s="137"/>
      <c r="P916" s="137"/>
      <c r="Q916" s="137"/>
      <c r="R916" s="137"/>
      <c r="S916" s="137"/>
      <c r="T916" s="137"/>
      <c r="U916" s="137"/>
      <c r="V916" s="137"/>
      <c r="W916" s="137"/>
    </row>
    <row r="917" spans="1:23" x14ac:dyDescent="0.2">
      <c r="A917" s="137"/>
      <c r="B917" s="137"/>
      <c r="C917" s="137"/>
      <c r="D917" s="137"/>
      <c r="E917" s="137"/>
      <c r="F917" s="137"/>
      <c r="G917" s="137"/>
      <c r="H917" s="137"/>
      <c r="I917" s="137"/>
      <c r="J917" s="137"/>
      <c r="K917" s="137"/>
      <c r="L917" s="137"/>
      <c r="M917" s="137"/>
      <c r="N917" s="137"/>
      <c r="O917" s="137"/>
      <c r="P917" s="137"/>
      <c r="Q917" s="137"/>
      <c r="R917" s="137"/>
      <c r="S917" s="137"/>
      <c r="T917" s="137"/>
      <c r="U917" s="137"/>
      <c r="V917" s="137"/>
      <c r="W917" s="137"/>
    </row>
    <row r="918" spans="1:23" x14ac:dyDescent="0.2">
      <c r="A918" s="137"/>
      <c r="B918" s="137"/>
      <c r="C918" s="137"/>
      <c r="D918" s="137"/>
      <c r="E918" s="137"/>
      <c r="F918" s="137"/>
      <c r="G918" s="137"/>
      <c r="H918" s="137"/>
      <c r="I918" s="137"/>
      <c r="J918" s="137"/>
      <c r="K918" s="137"/>
      <c r="L918" s="137"/>
      <c r="M918" s="137"/>
      <c r="N918" s="137"/>
      <c r="O918" s="137"/>
      <c r="P918" s="137"/>
      <c r="Q918" s="137"/>
      <c r="R918" s="137"/>
      <c r="S918" s="137"/>
      <c r="T918" s="137"/>
      <c r="U918" s="137"/>
      <c r="V918" s="137"/>
      <c r="W918" s="137"/>
    </row>
    <row r="919" spans="1:23" x14ac:dyDescent="0.2">
      <c r="A919" s="137"/>
      <c r="B919" s="137"/>
      <c r="C919" s="137"/>
      <c r="D919" s="137"/>
      <c r="E919" s="137"/>
      <c r="F919" s="137"/>
      <c r="G919" s="137"/>
      <c r="H919" s="137"/>
      <c r="I919" s="137"/>
      <c r="J919" s="137"/>
      <c r="K919" s="137"/>
      <c r="L919" s="137"/>
      <c r="M919" s="137"/>
      <c r="N919" s="137"/>
      <c r="O919" s="137"/>
      <c r="P919" s="137"/>
      <c r="Q919" s="137"/>
      <c r="R919" s="137"/>
      <c r="S919" s="137"/>
      <c r="T919" s="137"/>
      <c r="U919" s="137"/>
      <c r="V919" s="137"/>
      <c r="W919" s="137"/>
    </row>
    <row r="920" spans="1:23" x14ac:dyDescent="0.2">
      <c r="A920" s="137"/>
      <c r="B920" s="137"/>
      <c r="C920" s="137"/>
      <c r="D920" s="137"/>
      <c r="E920" s="137"/>
      <c r="F920" s="137"/>
      <c r="G920" s="137"/>
      <c r="H920" s="137"/>
      <c r="I920" s="137"/>
      <c r="J920" s="137"/>
      <c r="K920" s="137"/>
      <c r="L920" s="137"/>
      <c r="M920" s="137"/>
      <c r="N920" s="137"/>
      <c r="O920" s="137"/>
      <c r="P920" s="137"/>
      <c r="Q920" s="137"/>
      <c r="R920" s="137"/>
      <c r="S920" s="137"/>
      <c r="T920" s="137"/>
      <c r="U920" s="137"/>
      <c r="V920" s="137"/>
      <c r="W920" s="137"/>
    </row>
    <row r="921" spans="1:23" x14ac:dyDescent="0.2">
      <c r="A921" s="137"/>
      <c r="B921" s="137"/>
      <c r="C921" s="137"/>
      <c r="D921" s="137"/>
      <c r="E921" s="137"/>
      <c r="F921" s="137"/>
      <c r="G921" s="137"/>
      <c r="H921" s="137"/>
      <c r="I921" s="137"/>
      <c r="J921" s="137"/>
      <c r="K921" s="137"/>
      <c r="L921" s="137"/>
      <c r="M921" s="137"/>
      <c r="N921" s="137"/>
      <c r="O921" s="137"/>
      <c r="P921" s="137"/>
      <c r="Q921" s="137"/>
      <c r="R921" s="137"/>
      <c r="S921" s="137"/>
      <c r="T921" s="137"/>
      <c r="U921" s="137"/>
      <c r="V921" s="137"/>
      <c r="W921" s="137"/>
    </row>
    <row r="922" spans="1:23" x14ac:dyDescent="0.2">
      <c r="A922" s="137"/>
      <c r="B922" s="137"/>
      <c r="C922" s="137"/>
      <c r="D922" s="137"/>
      <c r="E922" s="137"/>
      <c r="F922" s="137"/>
      <c r="G922" s="137"/>
      <c r="H922" s="137"/>
      <c r="I922" s="137"/>
      <c r="J922" s="137"/>
      <c r="K922" s="137"/>
      <c r="L922" s="137"/>
      <c r="M922" s="137"/>
      <c r="N922" s="137"/>
      <c r="O922" s="137"/>
      <c r="P922" s="137"/>
      <c r="Q922" s="137"/>
      <c r="R922" s="137"/>
      <c r="S922" s="137"/>
      <c r="T922" s="137"/>
      <c r="U922" s="137"/>
      <c r="V922" s="137"/>
      <c r="W922" s="137"/>
    </row>
    <row r="923" spans="1:23" x14ac:dyDescent="0.2">
      <c r="A923" s="137"/>
      <c r="B923" s="137"/>
      <c r="C923" s="137"/>
      <c r="D923" s="137"/>
      <c r="E923" s="137"/>
      <c r="F923" s="137"/>
      <c r="G923" s="137"/>
      <c r="H923" s="137"/>
      <c r="I923" s="137"/>
      <c r="J923" s="137"/>
      <c r="K923" s="137"/>
      <c r="L923" s="137"/>
      <c r="M923" s="137"/>
      <c r="N923" s="137"/>
      <c r="O923" s="137"/>
      <c r="P923" s="137"/>
      <c r="Q923" s="137"/>
      <c r="R923" s="137"/>
      <c r="S923" s="137"/>
      <c r="T923" s="137"/>
      <c r="U923" s="137"/>
      <c r="V923" s="137"/>
      <c r="W923" s="137"/>
    </row>
    <row r="924" spans="1:23" x14ac:dyDescent="0.2">
      <c r="A924" s="137"/>
      <c r="B924" s="137"/>
      <c r="C924" s="137"/>
      <c r="D924" s="137"/>
      <c r="E924" s="137"/>
      <c r="F924" s="137"/>
      <c r="G924" s="137"/>
      <c r="H924" s="137"/>
      <c r="I924" s="137"/>
      <c r="J924" s="137"/>
      <c r="K924" s="137"/>
      <c r="L924" s="137"/>
      <c r="M924" s="137"/>
      <c r="N924" s="137"/>
      <c r="O924" s="137"/>
      <c r="P924" s="137"/>
      <c r="Q924" s="137"/>
      <c r="R924" s="137"/>
      <c r="S924" s="137"/>
      <c r="T924" s="137"/>
      <c r="U924" s="137"/>
      <c r="V924" s="137"/>
      <c r="W924" s="137"/>
    </row>
    <row r="925" spans="1:23" x14ac:dyDescent="0.2">
      <c r="A925" s="137"/>
      <c r="B925" s="137"/>
      <c r="C925" s="137"/>
      <c r="D925" s="137"/>
      <c r="E925" s="137"/>
      <c r="F925" s="137"/>
      <c r="G925" s="137"/>
      <c r="H925" s="137"/>
      <c r="I925" s="137"/>
      <c r="J925" s="137"/>
      <c r="K925" s="137"/>
      <c r="L925" s="137"/>
      <c r="M925" s="137"/>
      <c r="N925" s="137"/>
      <c r="O925" s="137"/>
      <c r="P925" s="137"/>
      <c r="Q925" s="137"/>
      <c r="R925" s="137"/>
      <c r="S925" s="137"/>
      <c r="T925" s="137"/>
      <c r="U925" s="137"/>
      <c r="V925" s="137"/>
      <c r="W925" s="137"/>
    </row>
    <row r="926" spans="1:23" x14ac:dyDescent="0.2">
      <c r="A926" s="137"/>
      <c r="B926" s="137"/>
      <c r="C926" s="137"/>
      <c r="D926" s="137"/>
      <c r="E926" s="137"/>
      <c r="F926" s="137"/>
      <c r="G926" s="137"/>
      <c r="H926" s="137"/>
      <c r="I926" s="137"/>
      <c r="J926" s="137"/>
      <c r="K926" s="137"/>
      <c r="L926" s="137"/>
      <c r="M926" s="137"/>
      <c r="N926" s="137"/>
      <c r="O926" s="137"/>
      <c r="P926" s="137"/>
      <c r="Q926" s="137"/>
      <c r="R926" s="137"/>
      <c r="S926" s="137"/>
      <c r="T926" s="137"/>
      <c r="U926" s="137"/>
      <c r="V926" s="137"/>
      <c r="W926" s="137"/>
    </row>
    <row r="927" spans="1:23" x14ac:dyDescent="0.2">
      <c r="A927" s="137"/>
      <c r="B927" s="137"/>
      <c r="C927" s="137"/>
      <c r="D927" s="137"/>
      <c r="E927" s="137"/>
      <c r="F927" s="137"/>
      <c r="G927" s="137"/>
      <c r="H927" s="137"/>
      <c r="I927" s="137"/>
      <c r="J927" s="137"/>
      <c r="K927" s="137"/>
      <c r="L927" s="137"/>
      <c r="M927" s="137"/>
      <c r="N927" s="137"/>
      <c r="O927" s="137"/>
      <c r="P927" s="137"/>
      <c r="Q927" s="137"/>
      <c r="R927" s="137"/>
      <c r="S927" s="137"/>
      <c r="T927" s="137"/>
      <c r="U927" s="137"/>
      <c r="V927" s="137"/>
      <c r="W927" s="137"/>
    </row>
    <row r="928" spans="1:23" x14ac:dyDescent="0.2">
      <c r="A928" s="137"/>
      <c r="B928" s="137"/>
      <c r="C928" s="137"/>
      <c r="D928" s="137"/>
      <c r="E928" s="137"/>
      <c r="F928" s="137"/>
      <c r="G928" s="137"/>
      <c r="H928" s="137"/>
      <c r="I928" s="137"/>
      <c r="J928" s="137"/>
      <c r="K928" s="137"/>
      <c r="L928" s="137"/>
      <c r="M928" s="137"/>
      <c r="N928" s="137"/>
      <c r="O928" s="137"/>
      <c r="P928" s="137"/>
      <c r="Q928" s="137"/>
      <c r="R928" s="137"/>
      <c r="S928" s="137"/>
      <c r="T928" s="137"/>
      <c r="U928" s="137"/>
      <c r="V928" s="137"/>
      <c r="W928" s="137"/>
    </row>
    <row r="929" spans="1:23" x14ac:dyDescent="0.2">
      <c r="A929" s="137"/>
      <c r="B929" s="137"/>
      <c r="C929" s="137"/>
      <c r="D929" s="137"/>
      <c r="E929" s="137"/>
      <c r="F929" s="137"/>
      <c r="G929" s="137"/>
      <c r="H929" s="137"/>
      <c r="I929" s="137"/>
      <c r="J929" s="137"/>
      <c r="K929" s="137"/>
      <c r="L929" s="137"/>
      <c r="M929" s="137"/>
      <c r="N929" s="137"/>
      <c r="O929" s="137"/>
      <c r="P929" s="137"/>
      <c r="Q929" s="137"/>
      <c r="R929" s="137"/>
      <c r="S929" s="137"/>
      <c r="T929" s="137"/>
      <c r="U929" s="137"/>
      <c r="V929" s="137"/>
      <c r="W929" s="137"/>
    </row>
    <row r="930" spans="1:23" x14ac:dyDescent="0.2">
      <c r="A930" s="137"/>
      <c r="B930" s="137"/>
      <c r="C930" s="137"/>
      <c r="D930" s="137"/>
      <c r="E930" s="137"/>
      <c r="F930" s="137"/>
      <c r="G930" s="137"/>
      <c r="H930" s="137"/>
      <c r="I930" s="137"/>
      <c r="J930" s="137"/>
      <c r="K930" s="137"/>
      <c r="L930" s="137"/>
      <c r="M930" s="137"/>
      <c r="N930" s="137"/>
      <c r="O930" s="137"/>
      <c r="P930" s="137"/>
      <c r="Q930" s="137"/>
      <c r="R930" s="137"/>
      <c r="S930" s="137"/>
      <c r="T930" s="137"/>
      <c r="U930" s="137"/>
      <c r="V930" s="137"/>
      <c r="W930" s="137"/>
    </row>
    <row r="931" spans="1:23" x14ac:dyDescent="0.2">
      <c r="A931" s="137"/>
      <c r="B931" s="137"/>
      <c r="C931" s="137"/>
      <c r="D931" s="137"/>
      <c r="E931" s="137"/>
      <c r="F931" s="137"/>
      <c r="G931" s="137"/>
      <c r="H931" s="137"/>
      <c r="I931" s="137"/>
      <c r="J931" s="137"/>
      <c r="K931" s="137"/>
      <c r="L931" s="137"/>
      <c r="M931" s="137"/>
      <c r="N931" s="137"/>
      <c r="O931" s="137"/>
      <c r="P931" s="137"/>
      <c r="Q931" s="137"/>
      <c r="R931" s="137"/>
      <c r="S931" s="137"/>
      <c r="T931" s="137"/>
      <c r="U931" s="137"/>
      <c r="V931" s="137"/>
      <c r="W931" s="137"/>
    </row>
    <row r="932" spans="1:23" x14ac:dyDescent="0.2">
      <c r="A932" s="137"/>
      <c r="B932" s="137"/>
      <c r="C932" s="137"/>
      <c r="D932" s="137"/>
      <c r="E932" s="137"/>
      <c r="F932" s="137"/>
      <c r="G932" s="137"/>
      <c r="H932" s="137"/>
      <c r="I932" s="137"/>
      <c r="J932" s="137"/>
      <c r="K932" s="137"/>
      <c r="L932" s="137"/>
      <c r="M932" s="137"/>
      <c r="N932" s="137"/>
      <c r="O932" s="137"/>
      <c r="P932" s="137"/>
      <c r="Q932" s="137"/>
      <c r="R932" s="137"/>
      <c r="S932" s="137"/>
      <c r="T932" s="137"/>
      <c r="U932" s="137"/>
      <c r="V932" s="137"/>
      <c r="W932" s="137"/>
    </row>
    <row r="933" spans="1:23" x14ac:dyDescent="0.2">
      <c r="A933" s="137"/>
      <c r="B933" s="137"/>
      <c r="C933" s="137"/>
      <c r="D933" s="137"/>
      <c r="E933" s="137"/>
      <c r="F933" s="137"/>
      <c r="G933" s="137"/>
      <c r="H933" s="137"/>
      <c r="I933" s="137"/>
      <c r="J933" s="137"/>
      <c r="K933" s="137"/>
      <c r="L933" s="137"/>
      <c r="M933" s="137"/>
      <c r="N933" s="137"/>
      <c r="O933" s="137"/>
      <c r="P933" s="137"/>
      <c r="Q933" s="137"/>
      <c r="R933" s="137"/>
      <c r="S933" s="137"/>
      <c r="T933" s="137"/>
      <c r="U933" s="137"/>
      <c r="V933" s="137"/>
      <c r="W933" s="137"/>
    </row>
    <row r="934" spans="1:23" x14ac:dyDescent="0.2">
      <c r="A934" s="137"/>
      <c r="B934" s="137"/>
      <c r="C934" s="137"/>
      <c r="D934" s="137"/>
      <c r="E934" s="137"/>
      <c r="F934" s="137"/>
      <c r="G934" s="137"/>
      <c r="H934" s="137"/>
      <c r="I934" s="137"/>
      <c r="J934" s="137"/>
      <c r="K934" s="137"/>
      <c r="L934" s="137"/>
      <c r="M934" s="137"/>
      <c r="N934" s="137"/>
      <c r="O934" s="137"/>
      <c r="P934" s="137"/>
      <c r="Q934" s="137"/>
      <c r="R934" s="137"/>
      <c r="S934" s="137"/>
      <c r="T934" s="137"/>
      <c r="U934" s="137"/>
      <c r="V934" s="137"/>
      <c r="W934" s="137"/>
    </row>
    <row r="935" spans="1:23" x14ac:dyDescent="0.2">
      <c r="A935" s="137"/>
      <c r="B935" s="137"/>
      <c r="C935" s="137"/>
      <c r="D935" s="137"/>
      <c r="E935" s="137"/>
      <c r="F935" s="137"/>
      <c r="G935" s="137"/>
      <c r="H935" s="137"/>
      <c r="I935" s="137"/>
      <c r="J935" s="137"/>
      <c r="K935" s="137"/>
      <c r="L935" s="137"/>
      <c r="M935" s="137"/>
      <c r="N935" s="137"/>
      <c r="O935" s="137"/>
      <c r="P935" s="137"/>
      <c r="Q935" s="137"/>
      <c r="R935" s="137"/>
      <c r="S935" s="137"/>
      <c r="T935" s="137"/>
      <c r="U935" s="137"/>
      <c r="V935" s="137"/>
      <c r="W935" s="137"/>
    </row>
    <row r="936" spans="1:23" x14ac:dyDescent="0.2">
      <c r="A936" s="137"/>
      <c r="B936" s="137"/>
      <c r="C936" s="137"/>
      <c r="D936" s="137"/>
      <c r="E936" s="137"/>
      <c r="F936" s="137"/>
      <c r="G936" s="137"/>
      <c r="H936" s="137"/>
      <c r="I936" s="137"/>
      <c r="J936" s="137"/>
      <c r="K936" s="137"/>
      <c r="L936" s="137"/>
      <c r="M936" s="137"/>
      <c r="N936" s="137"/>
      <c r="O936" s="137"/>
      <c r="P936" s="137"/>
      <c r="Q936" s="137"/>
      <c r="R936" s="137"/>
      <c r="S936" s="137"/>
      <c r="T936" s="137"/>
      <c r="U936" s="137"/>
      <c r="V936" s="137"/>
      <c r="W936" s="137"/>
    </row>
    <row r="937" spans="1:23" x14ac:dyDescent="0.2">
      <c r="A937" s="137"/>
      <c r="B937" s="137"/>
      <c r="C937" s="137"/>
      <c r="D937" s="137"/>
      <c r="E937" s="137"/>
      <c r="F937" s="137"/>
      <c r="G937" s="137"/>
      <c r="H937" s="137"/>
      <c r="I937" s="137"/>
      <c r="J937" s="137"/>
      <c r="K937" s="137"/>
      <c r="L937" s="137"/>
      <c r="M937" s="137"/>
      <c r="N937" s="137"/>
      <c r="O937" s="137"/>
      <c r="P937" s="137"/>
      <c r="Q937" s="137"/>
      <c r="R937" s="137"/>
      <c r="S937" s="137"/>
      <c r="T937" s="137"/>
      <c r="U937" s="137"/>
      <c r="V937" s="137"/>
      <c r="W937" s="137"/>
    </row>
    <row r="938" spans="1:23" x14ac:dyDescent="0.2">
      <c r="A938" s="137"/>
      <c r="B938" s="137"/>
      <c r="C938" s="137"/>
      <c r="D938" s="137"/>
      <c r="E938" s="137"/>
      <c r="F938" s="137"/>
      <c r="G938" s="137"/>
      <c r="H938" s="137"/>
      <c r="I938" s="137"/>
      <c r="J938" s="137"/>
      <c r="K938" s="137"/>
      <c r="L938" s="137"/>
      <c r="M938" s="137"/>
      <c r="N938" s="137"/>
      <c r="O938" s="137"/>
      <c r="P938" s="137"/>
      <c r="Q938" s="137"/>
      <c r="R938" s="137"/>
      <c r="S938" s="137"/>
      <c r="T938" s="137"/>
      <c r="U938" s="137"/>
      <c r="V938" s="137"/>
      <c r="W938" s="137"/>
    </row>
    <row r="939" spans="1:23" x14ac:dyDescent="0.2">
      <c r="A939" s="137"/>
      <c r="B939" s="137"/>
      <c r="C939" s="137"/>
      <c r="D939" s="137"/>
      <c r="E939" s="137"/>
      <c r="F939" s="137"/>
      <c r="G939" s="137"/>
      <c r="H939" s="137"/>
      <c r="I939" s="137"/>
      <c r="J939" s="137"/>
      <c r="K939" s="137"/>
      <c r="L939" s="137"/>
      <c r="M939" s="137"/>
      <c r="N939" s="137"/>
      <c r="O939" s="137"/>
      <c r="P939" s="137"/>
      <c r="Q939" s="137"/>
      <c r="R939" s="137"/>
      <c r="S939" s="137"/>
      <c r="T939" s="137"/>
      <c r="U939" s="137"/>
      <c r="V939" s="137"/>
      <c r="W939" s="137"/>
    </row>
    <row r="940" spans="1:23" x14ac:dyDescent="0.2">
      <c r="A940" s="137"/>
      <c r="B940" s="137"/>
      <c r="C940" s="137"/>
      <c r="D940" s="137"/>
      <c r="E940" s="137"/>
      <c r="F940" s="137"/>
      <c r="G940" s="137"/>
      <c r="H940" s="137"/>
      <c r="I940" s="137"/>
      <c r="J940" s="137"/>
      <c r="K940" s="137"/>
      <c r="L940" s="137"/>
      <c r="M940" s="137"/>
      <c r="N940" s="137"/>
      <c r="O940" s="137"/>
      <c r="P940" s="137"/>
      <c r="Q940" s="137"/>
      <c r="R940" s="137"/>
      <c r="S940" s="137"/>
      <c r="T940" s="137"/>
      <c r="U940" s="137"/>
      <c r="V940" s="137"/>
      <c r="W940" s="137"/>
    </row>
    <row r="941" spans="1:23" x14ac:dyDescent="0.2">
      <c r="A941" s="137"/>
      <c r="B941" s="137"/>
      <c r="C941" s="137"/>
      <c r="D941" s="137"/>
      <c r="E941" s="137"/>
      <c r="F941" s="137"/>
      <c r="G941" s="137"/>
      <c r="H941" s="137"/>
      <c r="I941" s="137"/>
      <c r="J941" s="137"/>
      <c r="K941" s="137"/>
      <c r="L941" s="137"/>
      <c r="M941" s="137"/>
      <c r="N941" s="137"/>
      <c r="O941" s="137"/>
      <c r="P941" s="137"/>
      <c r="Q941" s="137"/>
      <c r="R941" s="137"/>
      <c r="S941" s="137"/>
      <c r="T941" s="137"/>
      <c r="U941" s="137"/>
      <c r="V941" s="137"/>
      <c r="W941" s="137"/>
    </row>
    <row r="942" spans="1:23" x14ac:dyDescent="0.2">
      <c r="A942" s="137"/>
      <c r="B942" s="137"/>
      <c r="C942" s="137"/>
      <c r="D942" s="137"/>
      <c r="E942" s="137"/>
      <c r="F942" s="137"/>
      <c r="G942" s="137"/>
      <c r="H942" s="137"/>
      <c r="I942" s="137"/>
      <c r="J942" s="137"/>
      <c r="K942" s="137"/>
      <c r="L942" s="137"/>
      <c r="M942" s="137"/>
      <c r="N942" s="137"/>
      <c r="O942" s="137"/>
      <c r="P942" s="137"/>
      <c r="Q942" s="137"/>
      <c r="R942" s="137"/>
      <c r="S942" s="137"/>
      <c r="T942" s="137"/>
      <c r="U942" s="137"/>
      <c r="V942" s="137"/>
      <c r="W942" s="137"/>
    </row>
    <row r="943" spans="1:23" x14ac:dyDescent="0.2">
      <c r="A943" s="137"/>
      <c r="B943" s="137"/>
      <c r="C943" s="137"/>
      <c r="D943" s="137"/>
      <c r="E943" s="137"/>
      <c r="F943" s="137"/>
      <c r="G943" s="137"/>
      <c r="H943" s="137"/>
      <c r="I943" s="137"/>
      <c r="J943" s="137"/>
      <c r="K943" s="137"/>
      <c r="L943" s="137"/>
      <c r="M943" s="137"/>
      <c r="N943" s="137"/>
      <c r="O943" s="137"/>
      <c r="P943" s="137"/>
      <c r="Q943" s="137"/>
      <c r="R943" s="137"/>
      <c r="S943" s="137"/>
      <c r="T943" s="137"/>
      <c r="U943" s="137"/>
      <c r="V943" s="137"/>
      <c r="W943" s="137"/>
    </row>
    <row r="944" spans="1:23" x14ac:dyDescent="0.2">
      <c r="A944" s="137"/>
      <c r="B944" s="137"/>
      <c r="C944" s="137"/>
      <c r="D944" s="137"/>
      <c r="E944" s="137"/>
      <c r="F944" s="137"/>
      <c r="G944" s="137"/>
      <c r="H944" s="137"/>
      <c r="I944" s="137"/>
      <c r="J944" s="137"/>
      <c r="K944" s="137"/>
      <c r="L944" s="137"/>
      <c r="M944" s="137"/>
      <c r="N944" s="137"/>
      <c r="O944" s="137"/>
      <c r="P944" s="137"/>
      <c r="Q944" s="137"/>
      <c r="R944" s="137"/>
      <c r="S944" s="137"/>
      <c r="T944" s="137"/>
      <c r="U944" s="137"/>
      <c r="V944" s="137"/>
      <c r="W944" s="137"/>
    </row>
    <row r="945" spans="1:23" x14ac:dyDescent="0.2">
      <c r="A945" s="137"/>
      <c r="B945" s="137"/>
      <c r="C945" s="137"/>
      <c r="D945" s="137"/>
      <c r="E945" s="137"/>
      <c r="F945" s="137"/>
      <c r="G945" s="137"/>
      <c r="H945" s="137"/>
      <c r="I945" s="137"/>
      <c r="J945" s="137"/>
      <c r="K945" s="137"/>
      <c r="L945" s="137"/>
      <c r="M945" s="137"/>
      <c r="N945" s="137"/>
      <c r="O945" s="137"/>
      <c r="P945" s="137"/>
      <c r="Q945" s="137"/>
      <c r="R945" s="137"/>
      <c r="S945" s="137"/>
      <c r="T945" s="137"/>
      <c r="U945" s="137"/>
      <c r="V945" s="137"/>
      <c r="W945" s="137"/>
    </row>
    <row r="946" spans="1:23" x14ac:dyDescent="0.2">
      <c r="A946" s="137"/>
      <c r="B946" s="137"/>
      <c r="C946" s="137"/>
      <c r="D946" s="137"/>
      <c r="E946" s="137"/>
      <c r="F946" s="137"/>
      <c r="G946" s="137"/>
      <c r="H946" s="137"/>
      <c r="I946" s="137"/>
      <c r="J946" s="137"/>
      <c r="K946" s="137"/>
      <c r="L946" s="137"/>
      <c r="M946" s="137"/>
      <c r="N946" s="137"/>
      <c r="O946" s="137"/>
      <c r="P946" s="137"/>
      <c r="Q946" s="137"/>
      <c r="R946" s="137"/>
      <c r="S946" s="137"/>
      <c r="T946" s="137"/>
      <c r="U946" s="137"/>
      <c r="V946" s="137"/>
      <c r="W946" s="137"/>
    </row>
    <row r="947" spans="1:23" x14ac:dyDescent="0.2">
      <c r="A947" s="137"/>
      <c r="B947" s="137"/>
      <c r="C947" s="137"/>
      <c r="D947" s="137"/>
      <c r="E947" s="137"/>
      <c r="F947" s="137"/>
      <c r="G947" s="137"/>
      <c r="H947" s="137"/>
      <c r="I947" s="137"/>
      <c r="J947" s="137"/>
      <c r="K947" s="137"/>
      <c r="L947" s="137"/>
      <c r="M947" s="137"/>
      <c r="N947" s="137"/>
      <c r="O947" s="137"/>
      <c r="P947" s="137"/>
      <c r="Q947" s="137"/>
      <c r="R947" s="137"/>
      <c r="S947" s="137"/>
      <c r="T947" s="137"/>
      <c r="U947" s="137"/>
      <c r="V947" s="137"/>
      <c r="W947" s="137"/>
    </row>
    <row r="948" spans="1:23" x14ac:dyDescent="0.2">
      <c r="A948" s="137"/>
      <c r="B948" s="137"/>
      <c r="C948" s="137"/>
      <c r="D948" s="137"/>
      <c r="E948" s="137"/>
      <c r="F948" s="137"/>
      <c r="G948" s="137"/>
      <c r="H948" s="137"/>
      <c r="I948" s="137"/>
      <c r="J948" s="137"/>
      <c r="K948" s="137"/>
      <c r="L948" s="137"/>
      <c r="M948" s="137"/>
      <c r="N948" s="137"/>
      <c r="O948" s="137"/>
      <c r="P948" s="137"/>
      <c r="Q948" s="137"/>
      <c r="R948" s="137"/>
      <c r="S948" s="137"/>
      <c r="T948" s="137"/>
      <c r="U948" s="137"/>
      <c r="V948" s="137"/>
      <c r="W948" s="137"/>
    </row>
    <row r="949" spans="1:23" x14ac:dyDescent="0.2">
      <c r="A949" s="137"/>
      <c r="B949" s="137"/>
      <c r="C949" s="137"/>
      <c r="D949" s="137"/>
      <c r="E949" s="137"/>
      <c r="F949" s="137"/>
      <c r="G949" s="137"/>
      <c r="H949" s="137"/>
      <c r="I949" s="137"/>
      <c r="J949" s="137"/>
      <c r="K949" s="137"/>
      <c r="L949" s="137"/>
      <c r="M949" s="137"/>
      <c r="N949" s="137"/>
      <c r="O949" s="137"/>
      <c r="P949" s="137"/>
      <c r="Q949" s="137"/>
      <c r="R949" s="137"/>
      <c r="S949" s="137"/>
      <c r="T949" s="137"/>
      <c r="U949" s="137"/>
      <c r="V949" s="137"/>
      <c r="W949" s="137"/>
    </row>
    <row r="950" spans="1:23" x14ac:dyDescent="0.2">
      <c r="A950" s="137"/>
      <c r="B950" s="137"/>
      <c r="C950" s="137"/>
      <c r="D950" s="137"/>
      <c r="E950" s="137"/>
      <c r="F950" s="137"/>
      <c r="G950" s="137"/>
      <c r="H950" s="137"/>
      <c r="I950" s="137"/>
      <c r="J950" s="137"/>
      <c r="K950" s="137"/>
      <c r="L950" s="137"/>
      <c r="M950" s="137"/>
      <c r="N950" s="137"/>
      <c r="O950" s="137"/>
      <c r="P950" s="137"/>
      <c r="Q950" s="137"/>
      <c r="R950" s="137"/>
      <c r="S950" s="137"/>
      <c r="T950" s="137"/>
      <c r="U950" s="137"/>
      <c r="V950" s="137"/>
      <c r="W950" s="137"/>
    </row>
    <row r="951" spans="1:23" x14ac:dyDescent="0.2">
      <c r="A951" s="137"/>
      <c r="B951" s="137"/>
      <c r="C951" s="137"/>
      <c r="D951" s="137"/>
      <c r="E951" s="137"/>
      <c r="F951" s="137"/>
      <c r="G951" s="137"/>
      <c r="H951" s="137"/>
      <c r="I951" s="137"/>
      <c r="J951" s="137"/>
      <c r="K951" s="137"/>
      <c r="L951" s="137"/>
      <c r="M951" s="137"/>
      <c r="N951" s="137"/>
      <c r="O951" s="137"/>
      <c r="P951" s="137"/>
      <c r="Q951" s="137"/>
      <c r="R951" s="137"/>
      <c r="S951" s="137"/>
      <c r="T951" s="137"/>
      <c r="U951" s="137"/>
      <c r="V951" s="137"/>
      <c r="W951" s="137"/>
    </row>
    <row r="952" spans="1:23" x14ac:dyDescent="0.2">
      <c r="A952" s="137"/>
      <c r="B952" s="137"/>
      <c r="C952" s="137"/>
      <c r="D952" s="137"/>
      <c r="E952" s="137"/>
      <c r="F952" s="137"/>
      <c r="G952" s="137"/>
      <c r="H952" s="137"/>
      <c r="I952" s="137"/>
      <c r="J952" s="137"/>
      <c r="K952" s="137"/>
      <c r="L952" s="137"/>
      <c r="M952" s="137"/>
      <c r="N952" s="137"/>
      <c r="O952" s="137"/>
      <c r="P952" s="137"/>
      <c r="Q952" s="137"/>
      <c r="R952" s="137"/>
      <c r="S952" s="137"/>
      <c r="T952" s="137"/>
      <c r="U952" s="137"/>
      <c r="V952" s="137"/>
      <c r="W952" s="137"/>
    </row>
    <row r="953" spans="1:23" x14ac:dyDescent="0.2">
      <c r="A953" s="137"/>
      <c r="B953" s="137"/>
      <c r="C953" s="137"/>
      <c r="D953" s="137"/>
      <c r="E953" s="137"/>
      <c r="F953" s="137"/>
      <c r="G953" s="137"/>
      <c r="H953" s="137"/>
      <c r="I953" s="137"/>
      <c r="J953" s="137"/>
      <c r="K953" s="137"/>
      <c r="L953" s="137"/>
      <c r="M953" s="137"/>
      <c r="N953" s="137"/>
      <c r="O953" s="137"/>
      <c r="P953" s="137"/>
      <c r="Q953" s="137"/>
      <c r="R953" s="137"/>
      <c r="S953" s="137"/>
      <c r="T953" s="137"/>
      <c r="U953" s="137"/>
      <c r="V953" s="137"/>
      <c r="W953" s="137"/>
    </row>
    <row r="954" spans="1:23" x14ac:dyDescent="0.2">
      <c r="A954" s="137"/>
      <c r="B954" s="137"/>
      <c r="C954" s="137"/>
      <c r="D954" s="137"/>
      <c r="E954" s="137"/>
      <c r="F954" s="137"/>
      <c r="G954" s="137"/>
      <c r="H954" s="137"/>
      <c r="I954" s="137"/>
      <c r="J954" s="137"/>
      <c r="K954" s="137"/>
      <c r="L954" s="137"/>
      <c r="M954" s="137"/>
      <c r="N954" s="137"/>
      <c r="O954" s="137"/>
      <c r="P954" s="137"/>
      <c r="Q954" s="137"/>
      <c r="R954" s="137"/>
      <c r="S954" s="137"/>
      <c r="T954" s="137"/>
      <c r="U954" s="137"/>
      <c r="V954" s="137"/>
      <c r="W954" s="137"/>
    </row>
    <row r="955" spans="1:23" x14ac:dyDescent="0.2">
      <c r="A955" s="137"/>
      <c r="B955" s="137"/>
      <c r="C955" s="137"/>
      <c r="D955" s="137"/>
      <c r="E955" s="137"/>
      <c r="F955" s="137"/>
      <c r="G955" s="137"/>
      <c r="H955" s="137"/>
      <c r="I955" s="137"/>
      <c r="J955" s="137"/>
      <c r="K955" s="137"/>
      <c r="L955" s="137"/>
      <c r="M955" s="137"/>
      <c r="N955" s="137"/>
      <c r="O955" s="137"/>
      <c r="P955" s="137"/>
      <c r="Q955" s="137"/>
      <c r="R955" s="137"/>
      <c r="S955" s="137"/>
      <c r="T955" s="137"/>
      <c r="U955" s="137"/>
      <c r="V955" s="137"/>
      <c r="W955" s="137"/>
    </row>
    <row r="956" spans="1:23" x14ac:dyDescent="0.2">
      <c r="A956" s="137"/>
      <c r="B956" s="137"/>
      <c r="C956" s="137"/>
      <c r="D956" s="137"/>
      <c r="E956" s="137"/>
      <c r="F956" s="137"/>
      <c r="G956" s="137"/>
      <c r="H956" s="137"/>
      <c r="I956" s="137"/>
      <c r="J956" s="137"/>
      <c r="K956" s="137"/>
      <c r="L956" s="137"/>
      <c r="M956" s="137"/>
      <c r="N956" s="137"/>
      <c r="O956" s="137"/>
      <c r="P956" s="137"/>
      <c r="Q956" s="137"/>
      <c r="R956" s="137"/>
      <c r="S956" s="137"/>
      <c r="T956" s="137"/>
      <c r="U956" s="137"/>
      <c r="V956" s="137"/>
      <c r="W956" s="137"/>
    </row>
    <row r="957" spans="1:23" x14ac:dyDescent="0.2">
      <c r="A957" s="137"/>
      <c r="B957" s="137"/>
      <c r="C957" s="137"/>
      <c r="D957" s="137"/>
      <c r="E957" s="137"/>
      <c r="F957" s="137"/>
      <c r="G957" s="137"/>
      <c r="H957" s="137"/>
      <c r="I957" s="137"/>
      <c r="J957" s="137"/>
      <c r="K957" s="137"/>
      <c r="L957" s="137"/>
      <c r="M957" s="137"/>
      <c r="N957" s="137"/>
      <c r="O957" s="137"/>
      <c r="P957" s="137"/>
      <c r="Q957" s="137"/>
      <c r="R957" s="137"/>
      <c r="S957" s="137"/>
      <c r="T957" s="137"/>
      <c r="U957" s="137"/>
      <c r="V957" s="137"/>
      <c r="W957" s="137"/>
    </row>
    <row r="958" spans="1:23" x14ac:dyDescent="0.2">
      <c r="A958" s="137"/>
      <c r="B958" s="137"/>
      <c r="C958" s="137"/>
      <c r="D958" s="137"/>
      <c r="E958" s="137"/>
      <c r="F958" s="137"/>
      <c r="G958" s="137"/>
      <c r="H958" s="137"/>
      <c r="I958" s="137"/>
      <c r="J958" s="137"/>
      <c r="K958" s="137"/>
      <c r="L958" s="137"/>
      <c r="M958" s="137"/>
      <c r="N958" s="137"/>
      <c r="O958" s="137"/>
      <c r="P958" s="137"/>
      <c r="Q958" s="137"/>
      <c r="R958" s="137"/>
      <c r="S958" s="137"/>
      <c r="T958" s="137"/>
      <c r="U958" s="137"/>
      <c r="V958" s="137"/>
      <c r="W958" s="137"/>
    </row>
    <row r="959" spans="1:23" x14ac:dyDescent="0.2">
      <c r="A959" s="137"/>
      <c r="B959" s="137"/>
      <c r="C959" s="137"/>
      <c r="D959" s="137"/>
      <c r="E959" s="137"/>
      <c r="F959" s="137"/>
      <c r="G959" s="137"/>
      <c r="H959" s="137"/>
      <c r="I959" s="137"/>
      <c r="J959" s="137"/>
      <c r="K959" s="137"/>
      <c r="L959" s="137"/>
      <c r="M959" s="137"/>
      <c r="N959" s="137"/>
      <c r="O959" s="137"/>
      <c r="P959" s="137"/>
      <c r="Q959" s="137"/>
      <c r="R959" s="137"/>
      <c r="S959" s="137"/>
      <c r="T959" s="137"/>
      <c r="U959" s="137"/>
      <c r="V959" s="137"/>
      <c r="W959" s="137"/>
    </row>
    <row r="960" spans="1:23" x14ac:dyDescent="0.2">
      <c r="A960" s="137"/>
      <c r="B960" s="137"/>
      <c r="C960" s="137"/>
      <c r="D960" s="137"/>
      <c r="E960" s="137"/>
      <c r="F960" s="137"/>
      <c r="G960" s="137"/>
      <c r="H960" s="137"/>
      <c r="I960" s="137"/>
      <c r="J960" s="137"/>
      <c r="K960" s="137"/>
      <c r="L960" s="137"/>
      <c r="M960" s="137"/>
      <c r="N960" s="137"/>
      <c r="O960" s="137"/>
      <c r="P960" s="137"/>
      <c r="Q960" s="137"/>
      <c r="R960" s="137"/>
      <c r="S960" s="137"/>
      <c r="T960" s="137"/>
      <c r="U960" s="137"/>
      <c r="V960" s="137"/>
      <c r="W960" s="137"/>
    </row>
    <row r="961" spans="1:23" x14ac:dyDescent="0.2">
      <c r="A961" s="137"/>
      <c r="B961" s="137"/>
      <c r="C961" s="137"/>
      <c r="D961" s="137"/>
      <c r="E961" s="137"/>
      <c r="F961" s="137"/>
      <c r="G961" s="137"/>
      <c r="H961" s="137"/>
      <c r="I961" s="137"/>
      <c r="J961" s="137"/>
      <c r="K961" s="137"/>
      <c r="L961" s="137"/>
      <c r="M961" s="137"/>
      <c r="N961" s="137"/>
      <c r="O961" s="137"/>
      <c r="P961" s="137"/>
      <c r="Q961" s="137"/>
      <c r="R961" s="137"/>
      <c r="S961" s="137"/>
      <c r="T961" s="137"/>
      <c r="U961" s="137"/>
      <c r="V961" s="137"/>
      <c r="W961" s="137"/>
    </row>
    <row r="962" spans="1:23" x14ac:dyDescent="0.2">
      <c r="A962" s="137"/>
      <c r="B962" s="137"/>
      <c r="C962" s="137"/>
      <c r="D962" s="137"/>
      <c r="E962" s="137"/>
      <c r="F962" s="137"/>
      <c r="G962" s="137"/>
      <c r="H962" s="137"/>
      <c r="I962" s="137"/>
      <c r="J962" s="137"/>
      <c r="K962" s="137"/>
      <c r="L962" s="137"/>
      <c r="M962" s="137"/>
      <c r="N962" s="137"/>
      <c r="O962" s="137"/>
      <c r="P962" s="137"/>
      <c r="Q962" s="137"/>
      <c r="R962" s="137"/>
      <c r="S962" s="137"/>
      <c r="T962" s="137"/>
      <c r="U962" s="137"/>
      <c r="V962" s="137"/>
      <c r="W962" s="137"/>
    </row>
    <row r="963" spans="1:23" x14ac:dyDescent="0.2">
      <c r="A963" s="137"/>
      <c r="B963" s="137"/>
      <c r="C963" s="137"/>
      <c r="D963" s="137"/>
      <c r="E963" s="137"/>
      <c r="F963" s="137"/>
      <c r="G963" s="137"/>
      <c r="H963" s="137"/>
      <c r="I963" s="137"/>
      <c r="J963" s="137"/>
      <c r="K963" s="137"/>
      <c r="L963" s="137"/>
      <c r="M963" s="137"/>
      <c r="N963" s="137"/>
      <c r="O963" s="137"/>
      <c r="P963" s="137"/>
      <c r="Q963" s="137"/>
      <c r="R963" s="137"/>
      <c r="S963" s="137"/>
      <c r="T963" s="137"/>
      <c r="U963" s="137"/>
      <c r="V963" s="137"/>
      <c r="W963" s="137"/>
    </row>
    <row r="964" spans="1:23" x14ac:dyDescent="0.2">
      <c r="A964" s="137"/>
      <c r="B964" s="137"/>
      <c r="C964" s="137"/>
      <c r="D964" s="137"/>
      <c r="E964" s="137"/>
      <c r="F964" s="137"/>
      <c r="G964" s="137"/>
      <c r="H964" s="137"/>
      <c r="I964" s="137"/>
      <c r="J964" s="137"/>
      <c r="K964" s="137"/>
      <c r="L964" s="137"/>
      <c r="M964" s="137"/>
      <c r="N964" s="137"/>
      <c r="O964" s="137"/>
      <c r="P964" s="137"/>
      <c r="Q964" s="137"/>
      <c r="R964" s="137"/>
      <c r="S964" s="137"/>
      <c r="T964" s="137"/>
      <c r="U964" s="137"/>
      <c r="V964" s="137"/>
      <c r="W964" s="137"/>
    </row>
    <row r="965" spans="1:23" x14ac:dyDescent="0.2">
      <c r="A965" s="137"/>
      <c r="B965" s="137"/>
      <c r="C965" s="137"/>
      <c r="D965" s="137"/>
      <c r="E965" s="137"/>
      <c r="F965" s="137"/>
      <c r="G965" s="137"/>
      <c r="H965" s="137"/>
      <c r="I965" s="137"/>
      <c r="J965" s="137"/>
      <c r="K965" s="137"/>
      <c r="L965" s="137"/>
      <c r="M965" s="137"/>
      <c r="N965" s="137"/>
      <c r="O965" s="137"/>
      <c r="P965" s="137"/>
      <c r="Q965" s="137"/>
      <c r="R965" s="137"/>
      <c r="S965" s="137"/>
      <c r="T965" s="137"/>
      <c r="U965" s="137"/>
      <c r="V965" s="137"/>
      <c r="W965" s="137"/>
    </row>
    <row r="966" spans="1:23" x14ac:dyDescent="0.2">
      <c r="A966" s="137"/>
      <c r="B966" s="137"/>
      <c r="C966" s="137"/>
      <c r="D966" s="137"/>
      <c r="E966" s="137"/>
      <c r="F966" s="137"/>
      <c r="G966" s="137"/>
      <c r="H966" s="137"/>
      <c r="I966" s="137"/>
      <c r="J966" s="137"/>
      <c r="K966" s="137"/>
      <c r="L966" s="137"/>
      <c r="M966" s="137"/>
      <c r="N966" s="137"/>
      <c r="O966" s="137"/>
      <c r="P966" s="137"/>
      <c r="Q966" s="137"/>
      <c r="R966" s="137"/>
      <c r="S966" s="137"/>
      <c r="T966" s="137"/>
      <c r="U966" s="137"/>
      <c r="V966" s="137"/>
      <c r="W966" s="137"/>
    </row>
    <row r="967" spans="1:23" x14ac:dyDescent="0.2">
      <c r="A967" s="137"/>
      <c r="B967" s="137"/>
      <c r="C967" s="137"/>
      <c r="D967" s="137"/>
      <c r="E967" s="137"/>
      <c r="F967" s="137"/>
      <c r="G967" s="137"/>
      <c r="H967" s="137"/>
      <c r="I967" s="137"/>
      <c r="J967" s="137"/>
      <c r="K967" s="137"/>
      <c r="L967" s="137"/>
      <c r="M967" s="137"/>
      <c r="N967" s="137"/>
      <c r="O967" s="137"/>
      <c r="P967" s="137"/>
      <c r="Q967" s="137"/>
      <c r="R967" s="137"/>
      <c r="S967" s="137"/>
      <c r="T967" s="137"/>
      <c r="U967" s="137"/>
      <c r="V967" s="137"/>
      <c r="W967" s="137"/>
    </row>
    <row r="968" spans="1:23" x14ac:dyDescent="0.2">
      <c r="A968" s="137"/>
      <c r="B968" s="137"/>
      <c r="C968" s="137"/>
      <c r="D968" s="137"/>
      <c r="E968" s="137"/>
      <c r="F968" s="137"/>
      <c r="G968" s="137"/>
      <c r="H968" s="137"/>
      <c r="I968" s="137"/>
      <c r="J968" s="137"/>
      <c r="K968" s="137"/>
      <c r="L968" s="137"/>
      <c r="M968" s="137"/>
      <c r="N968" s="137"/>
      <c r="O968" s="137"/>
      <c r="P968" s="137"/>
      <c r="Q968" s="137"/>
      <c r="R968" s="137"/>
      <c r="S968" s="137"/>
      <c r="T968" s="137"/>
      <c r="U968" s="137"/>
      <c r="V968" s="137"/>
      <c r="W968" s="137"/>
    </row>
    <row r="969" spans="1:23" x14ac:dyDescent="0.2">
      <c r="A969" s="137"/>
      <c r="B969" s="137"/>
      <c r="C969" s="137"/>
      <c r="D969" s="137"/>
      <c r="E969" s="137"/>
      <c r="F969" s="137"/>
      <c r="G969" s="137"/>
      <c r="H969" s="137"/>
      <c r="I969" s="137"/>
      <c r="J969" s="137"/>
      <c r="K969" s="137"/>
      <c r="L969" s="137"/>
      <c r="M969" s="137"/>
      <c r="N969" s="137"/>
      <c r="O969" s="137"/>
      <c r="P969" s="137"/>
      <c r="Q969" s="137"/>
      <c r="R969" s="137"/>
      <c r="S969" s="137"/>
      <c r="T969" s="137"/>
      <c r="U969" s="137"/>
      <c r="V969" s="137"/>
      <c r="W969" s="137"/>
    </row>
    <row r="970" spans="1:23" x14ac:dyDescent="0.2">
      <c r="A970" s="137"/>
      <c r="B970" s="137"/>
      <c r="C970" s="137"/>
      <c r="D970" s="137"/>
      <c r="E970" s="137"/>
      <c r="F970" s="137"/>
      <c r="G970" s="137"/>
      <c r="H970" s="137"/>
      <c r="I970" s="137"/>
      <c r="J970" s="137"/>
      <c r="K970" s="137"/>
      <c r="L970" s="137"/>
      <c r="M970" s="137"/>
      <c r="N970" s="137"/>
      <c r="O970" s="137"/>
      <c r="P970" s="137"/>
      <c r="Q970" s="137"/>
      <c r="R970" s="137"/>
      <c r="S970" s="137"/>
      <c r="T970" s="137"/>
      <c r="U970" s="137"/>
      <c r="V970" s="137"/>
      <c r="W970" s="137"/>
    </row>
    <row r="971" spans="1:23" x14ac:dyDescent="0.2">
      <c r="A971" s="137"/>
      <c r="B971" s="137"/>
      <c r="C971" s="137"/>
      <c r="D971" s="137"/>
      <c r="E971" s="137"/>
      <c r="F971" s="137"/>
      <c r="G971" s="137"/>
      <c r="H971" s="137"/>
      <c r="I971" s="137"/>
      <c r="J971" s="137"/>
      <c r="K971" s="137"/>
      <c r="L971" s="137"/>
      <c r="M971" s="137"/>
      <c r="N971" s="137"/>
      <c r="O971" s="137"/>
      <c r="P971" s="137"/>
      <c r="Q971" s="137"/>
      <c r="R971" s="137"/>
      <c r="S971" s="137"/>
      <c r="T971" s="137"/>
      <c r="U971" s="137"/>
      <c r="V971" s="137"/>
      <c r="W971" s="137"/>
    </row>
    <row r="972" spans="1:23" x14ac:dyDescent="0.2">
      <c r="A972" s="137"/>
      <c r="B972" s="137"/>
      <c r="C972" s="137"/>
      <c r="D972" s="137"/>
      <c r="E972" s="137"/>
      <c r="F972" s="137"/>
      <c r="G972" s="137"/>
      <c r="H972" s="137"/>
      <c r="I972" s="137"/>
      <c r="J972" s="137"/>
      <c r="K972" s="137"/>
      <c r="L972" s="137"/>
      <c r="M972" s="137"/>
      <c r="N972" s="137"/>
      <c r="O972" s="137"/>
      <c r="P972" s="137"/>
      <c r="Q972" s="137"/>
      <c r="R972" s="137"/>
      <c r="S972" s="137"/>
      <c r="T972" s="137"/>
      <c r="U972" s="137"/>
      <c r="V972" s="137"/>
      <c r="W972" s="137"/>
    </row>
    <row r="973" spans="1:23" x14ac:dyDescent="0.2">
      <c r="A973" s="137"/>
      <c r="B973" s="137"/>
      <c r="C973" s="137"/>
      <c r="D973" s="137"/>
      <c r="E973" s="137"/>
      <c r="F973" s="137"/>
      <c r="G973" s="137"/>
      <c r="H973" s="137"/>
      <c r="I973" s="137"/>
      <c r="J973" s="137"/>
      <c r="K973" s="137"/>
      <c r="L973" s="137"/>
      <c r="M973" s="137"/>
      <c r="N973" s="137"/>
      <c r="O973" s="137"/>
      <c r="P973" s="137"/>
      <c r="Q973" s="137"/>
      <c r="R973" s="137"/>
      <c r="S973" s="137"/>
      <c r="T973" s="137"/>
      <c r="U973" s="137"/>
      <c r="V973" s="137"/>
      <c r="W973" s="137"/>
    </row>
    <row r="974" spans="1:23" x14ac:dyDescent="0.2">
      <c r="A974" s="137"/>
      <c r="B974" s="137"/>
      <c r="C974" s="137"/>
      <c r="D974" s="137"/>
      <c r="E974" s="137"/>
      <c r="F974" s="137"/>
      <c r="G974" s="137"/>
      <c r="H974" s="137"/>
      <c r="I974" s="137"/>
      <c r="J974" s="137"/>
      <c r="K974" s="137"/>
      <c r="L974" s="137"/>
      <c r="M974" s="137"/>
      <c r="N974" s="137"/>
      <c r="O974" s="137"/>
      <c r="P974" s="137"/>
      <c r="Q974" s="137"/>
      <c r="R974" s="137"/>
      <c r="S974" s="137"/>
      <c r="T974" s="137"/>
      <c r="U974" s="137"/>
      <c r="V974" s="137"/>
      <c r="W974" s="137"/>
    </row>
    <row r="975" spans="1:23" x14ac:dyDescent="0.2">
      <c r="A975" s="137"/>
      <c r="B975" s="137"/>
      <c r="C975" s="137"/>
      <c r="D975" s="137"/>
      <c r="E975" s="137"/>
      <c r="F975" s="137"/>
      <c r="G975" s="137"/>
      <c r="H975" s="137"/>
      <c r="I975" s="137"/>
      <c r="J975" s="137"/>
      <c r="K975" s="137"/>
      <c r="L975" s="137"/>
      <c r="M975" s="137"/>
      <c r="N975" s="137"/>
      <c r="O975" s="137"/>
      <c r="P975" s="137"/>
      <c r="Q975" s="137"/>
      <c r="R975" s="137"/>
      <c r="S975" s="137"/>
      <c r="T975" s="137"/>
      <c r="U975" s="137"/>
      <c r="V975" s="137"/>
      <c r="W975" s="137"/>
    </row>
    <row r="976" spans="1:23" x14ac:dyDescent="0.2">
      <c r="A976" s="137"/>
      <c r="B976" s="137"/>
      <c r="C976" s="137"/>
      <c r="D976" s="137"/>
      <c r="E976" s="137"/>
      <c r="F976" s="137"/>
      <c r="G976" s="137"/>
      <c r="H976" s="137"/>
      <c r="I976" s="137"/>
      <c r="J976" s="137"/>
      <c r="K976" s="137"/>
      <c r="L976" s="137"/>
      <c r="M976" s="137"/>
      <c r="N976" s="137"/>
      <c r="O976" s="137"/>
      <c r="P976" s="137"/>
      <c r="Q976" s="137"/>
      <c r="R976" s="137"/>
      <c r="S976" s="137"/>
      <c r="T976" s="137"/>
      <c r="U976" s="137"/>
      <c r="V976" s="137"/>
      <c r="W976" s="137"/>
    </row>
    <row r="977" spans="1:23" x14ac:dyDescent="0.2">
      <c r="A977" s="137"/>
      <c r="B977" s="137"/>
      <c r="C977" s="137"/>
      <c r="D977" s="137"/>
      <c r="E977" s="137"/>
      <c r="F977" s="137"/>
      <c r="G977" s="137"/>
      <c r="H977" s="137"/>
      <c r="I977" s="137"/>
      <c r="J977" s="137"/>
      <c r="K977" s="137"/>
      <c r="L977" s="137"/>
      <c r="M977" s="137"/>
      <c r="N977" s="137"/>
      <c r="O977" s="137"/>
      <c r="P977" s="137"/>
      <c r="Q977" s="137"/>
      <c r="R977" s="137"/>
      <c r="S977" s="137"/>
      <c r="T977" s="137"/>
      <c r="U977" s="137"/>
      <c r="V977" s="137"/>
      <c r="W977" s="137"/>
    </row>
    <row r="978" spans="1:23" x14ac:dyDescent="0.2">
      <c r="A978" s="137"/>
      <c r="B978" s="137"/>
      <c r="C978" s="137"/>
      <c r="D978" s="137"/>
      <c r="E978" s="137"/>
      <c r="F978" s="137"/>
      <c r="G978" s="137"/>
      <c r="H978" s="137"/>
      <c r="I978" s="137"/>
      <c r="J978" s="137"/>
      <c r="K978" s="137"/>
      <c r="L978" s="137"/>
      <c r="M978" s="137"/>
      <c r="N978" s="137"/>
      <c r="O978" s="137"/>
      <c r="P978" s="137"/>
      <c r="Q978" s="137"/>
      <c r="R978" s="137"/>
      <c r="S978" s="137"/>
      <c r="T978" s="137"/>
      <c r="U978" s="137"/>
      <c r="V978" s="137"/>
      <c r="W978" s="137"/>
    </row>
    <row r="979" spans="1:23" x14ac:dyDescent="0.2">
      <c r="A979" s="137"/>
      <c r="B979" s="137"/>
      <c r="C979" s="137"/>
      <c r="D979" s="137"/>
      <c r="E979" s="137"/>
      <c r="F979" s="137"/>
      <c r="G979" s="137"/>
      <c r="H979" s="137"/>
      <c r="I979" s="137"/>
      <c r="J979" s="137"/>
      <c r="K979" s="137"/>
      <c r="L979" s="137"/>
      <c r="M979" s="137"/>
      <c r="N979" s="137"/>
      <c r="O979" s="137"/>
      <c r="P979" s="137"/>
      <c r="Q979" s="137"/>
      <c r="R979" s="137"/>
      <c r="S979" s="137"/>
      <c r="T979" s="137"/>
      <c r="U979" s="137"/>
      <c r="V979" s="137"/>
      <c r="W979" s="137"/>
    </row>
    <row r="980" spans="1:23" x14ac:dyDescent="0.2">
      <c r="A980" s="137"/>
      <c r="B980" s="137"/>
      <c r="C980" s="137"/>
      <c r="D980" s="137"/>
      <c r="E980" s="137"/>
      <c r="F980" s="137"/>
      <c r="G980" s="137"/>
      <c r="H980" s="137"/>
      <c r="I980" s="137"/>
      <c r="J980" s="137"/>
      <c r="K980" s="137"/>
      <c r="L980" s="137"/>
      <c r="M980" s="137"/>
      <c r="N980" s="137"/>
      <c r="O980" s="137"/>
      <c r="P980" s="137"/>
      <c r="Q980" s="137"/>
      <c r="R980" s="137"/>
      <c r="S980" s="137"/>
      <c r="T980" s="137"/>
      <c r="U980" s="137"/>
      <c r="V980" s="137"/>
      <c r="W980" s="137"/>
    </row>
    <row r="981" spans="1:23" x14ac:dyDescent="0.2">
      <c r="A981" s="137"/>
      <c r="B981" s="137"/>
      <c r="C981" s="137"/>
      <c r="D981" s="137"/>
      <c r="E981" s="137"/>
      <c r="F981" s="137"/>
      <c r="G981" s="137"/>
      <c r="H981" s="137"/>
      <c r="I981" s="137"/>
      <c r="J981" s="137"/>
      <c r="K981" s="137"/>
      <c r="L981" s="137"/>
      <c r="M981" s="137"/>
      <c r="N981" s="137"/>
      <c r="O981" s="137"/>
      <c r="P981" s="137"/>
      <c r="Q981" s="137"/>
      <c r="R981" s="137"/>
      <c r="S981" s="137"/>
      <c r="T981" s="137"/>
      <c r="U981" s="137"/>
      <c r="V981" s="137"/>
      <c r="W981" s="137"/>
    </row>
    <row r="982" spans="1:23" x14ac:dyDescent="0.2">
      <c r="A982" s="137"/>
      <c r="B982" s="137"/>
      <c r="C982" s="137"/>
      <c r="D982" s="137"/>
      <c r="E982" s="137"/>
      <c r="F982" s="137"/>
      <c r="G982" s="137"/>
      <c r="H982" s="137"/>
      <c r="I982" s="137"/>
      <c r="J982" s="137"/>
      <c r="K982" s="137"/>
      <c r="L982" s="137"/>
      <c r="M982" s="137"/>
      <c r="N982" s="137"/>
      <c r="O982" s="137"/>
      <c r="P982" s="137"/>
      <c r="Q982" s="137"/>
      <c r="R982" s="137"/>
      <c r="S982" s="137"/>
      <c r="T982" s="137"/>
      <c r="U982" s="137"/>
      <c r="V982" s="137"/>
      <c r="W982" s="137"/>
    </row>
    <row r="983" spans="1:23" x14ac:dyDescent="0.2">
      <c r="A983" s="137"/>
      <c r="B983" s="137"/>
      <c r="C983" s="137"/>
      <c r="D983" s="137"/>
      <c r="E983" s="137"/>
      <c r="F983" s="137"/>
      <c r="G983" s="137"/>
      <c r="H983" s="137"/>
      <c r="I983" s="137"/>
      <c r="J983" s="137"/>
      <c r="K983" s="137"/>
      <c r="L983" s="137"/>
      <c r="M983" s="137"/>
      <c r="N983" s="137"/>
      <c r="O983" s="137"/>
      <c r="P983" s="137"/>
      <c r="Q983" s="137"/>
      <c r="R983" s="137"/>
      <c r="S983" s="137"/>
      <c r="T983" s="137"/>
      <c r="U983" s="137"/>
      <c r="V983" s="137"/>
      <c r="W983" s="137"/>
    </row>
    <row r="984" spans="1:23" x14ac:dyDescent="0.2">
      <c r="A984" s="137"/>
      <c r="B984" s="137"/>
      <c r="C984" s="137"/>
      <c r="D984" s="137"/>
      <c r="E984" s="137"/>
      <c r="F984" s="137"/>
      <c r="G984" s="137"/>
      <c r="H984" s="137"/>
      <c r="I984" s="137"/>
      <c r="J984" s="137"/>
      <c r="K984" s="137"/>
      <c r="L984" s="137"/>
      <c r="M984" s="137"/>
      <c r="N984" s="137"/>
      <c r="O984" s="137"/>
      <c r="P984" s="137"/>
      <c r="Q984" s="137"/>
      <c r="R984" s="137"/>
      <c r="S984" s="137"/>
      <c r="T984" s="137"/>
      <c r="U984" s="137"/>
      <c r="V984" s="137"/>
      <c r="W984" s="137"/>
    </row>
    <row r="985" spans="1:23" x14ac:dyDescent="0.2">
      <c r="A985" s="137"/>
      <c r="B985" s="137"/>
      <c r="C985" s="137"/>
      <c r="D985" s="137"/>
      <c r="E985" s="137"/>
      <c r="F985" s="137"/>
      <c r="G985" s="137"/>
      <c r="H985" s="137"/>
      <c r="I985" s="137"/>
      <c r="J985" s="137"/>
      <c r="K985" s="137"/>
      <c r="L985" s="137"/>
      <c r="M985" s="137"/>
      <c r="N985" s="137"/>
      <c r="O985" s="137"/>
      <c r="P985" s="137"/>
      <c r="Q985" s="137"/>
      <c r="R985" s="137"/>
      <c r="S985" s="137"/>
      <c r="T985" s="137"/>
      <c r="U985" s="137"/>
      <c r="V985" s="137"/>
      <c r="W985" s="137"/>
    </row>
    <row r="986" spans="1:23" x14ac:dyDescent="0.2">
      <c r="A986" s="137"/>
      <c r="B986" s="137"/>
      <c r="C986" s="137"/>
      <c r="D986" s="137"/>
      <c r="E986" s="137"/>
      <c r="F986" s="137"/>
      <c r="G986" s="137"/>
      <c r="H986" s="137"/>
      <c r="I986" s="137"/>
      <c r="J986" s="137"/>
      <c r="K986" s="137"/>
      <c r="L986" s="137"/>
      <c r="M986" s="137"/>
      <c r="N986" s="137"/>
      <c r="O986" s="137"/>
      <c r="P986" s="137"/>
      <c r="Q986" s="137"/>
      <c r="R986" s="137"/>
      <c r="S986" s="137"/>
      <c r="T986" s="137"/>
      <c r="U986" s="137"/>
      <c r="V986" s="137"/>
      <c r="W986" s="137"/>
    </row>
    <row r="987" spans="1:23" x14ac:dyDescent="0.2">
      <c r="A987" s="137"/>
      <c r="B987" s="137"/>
      <c r="C987" s="137"/>
      <c r="D987" s="137"/>
      <c r="E987" s="137"/>
      <c r="F987" s="137"/>
      <c r="G987" s="137"/>
      <c r="H987" s="137"/>
      <c r="I987" s="137"/>
      <c r="J987" s="137"/>
      <c r="K987" s="137"/>
      <c r="L987" s="137"/>
      <c r="M987" s="137"/>
      <c r="N987" s="137"/>
      <c r="O987" s="137"/>
      <c r="P987" s="137"/>
      <c r="Q987" s="137"/>
      <c r="R987" s="137"/>
      <c r="S987" s="137"/>
      <c r="T987" s="137"/>
      <c r="U987" s="137"/>
      <c r="V987" s="137"/>
      <c r="W987" s="137"/>
    </row>
    <row r="988" spans="1:23" x14ac:dyDescent="0.2">
      <c r="A988" s="137"/>
      <c r="B988" s="137"/>
      <c r="C988" s="137"/>
      <c r="D988" s="137"/>
      <c r="E988" s="137"/>
      <c r="F988" s="137"/>
      <c r="G988" s="137"/>
      <c r="H988" s="137"/>
      <c r="I988" s="137"/>
      <c r="J988" s="137"/>
      <c r="K988" s="137"/>
      <c r="L988" s="137"/>
      <c r="M988" s="137"/>
      <c r="N988" s="137"/>
      <c r="O988" s="137"/>
      <c r="P988" s="137"/>
      <c r="Q988" s="137"/>
      <c r="R988" s="137"/>
      <c r="S988" s="137"/>
      <c r="T988" s="137"/>
      <c r="U988" s="137"/>
      <c r="V988" s="137"/>
      <c r="W988" s="137"/>
    </row>
    <row r="989" spans="1:23" x14ac:dyDescent="0.2">
      <c r="A989" s="137"/>
      <c r="B989" s="137"/>
      <c r="C989" s="137"/>
      <c r="D989" s="137"/>
      <c r="E989" s="137"/>
      <c r="F989" s="137"/>
      <c r="G989" s="137"/>
      <c r="H989" s="137"/>
      <c r="I989" s="137"/>
      <c r="J989" s="137"/>
      <c r="K989" s="137"/>
      <c r="L989" s="137"/>
      <c r="M989" s="137"/>
      <c r="N989" s="137"/>
      <c r="O989" s="137"/>
      <c r="P989" s="137"/>
      <c r="Q989" s="137"/>
      <c r="R989" s="137"/>
      <c r="S989" s="137"/>
      <c r="T989" s="137"/>
      <c r="U989" s="137"/>
      <c r="V989" s="137"/>
      <c r="W989" s="137"/>
    </row>
    <row r="990" spans="1:23" x14ac:dyDescent="0.2">
      <c r="A990" s="137"/>
      <c r="B990" s="137"/>
      <c r="C990" s="137"/>
      <c r="D990" s="137"/>
      <c r="E990" s="137"/>
      <c r="F990" s="137"/>
      <c r="G990" s="137"/>
      <c r="H990" s="137"/>
      <c r="I990" s="137"/>
      <c r="J990" s="137"/>
      <c r="K990" s="137"/>
      <c r="L990" s="137"/>
      <c r="M990" s="137"/>
      <c r="N990" s="137"/>
      <c r="O990" s="137"/>
      <c r="P990" s="137"/>
      <c r="Q990" s="137"/>
      <c r="R990" s="137"/>
      <c r="S990" s="137"/>
      <c r="T990" s="137"/>
      <c r="U990" s="137"/>
      <c r="V990" s="137"/>
      <c r="W990" s="137"/>
    </row>
    <row r="991" spans="1:23" x14ac:dyDescent="0.2">
      <c r="A991" s="137"/>
      <c r="B991" s="137"/>
      <c r="C991" s="137"/>
      <c r="D991" s="137"/>
      <c r="E991" s="137"/>
      <c r="F991" s="137"/>
      <c r="G991" s="137"/>
      <c r="H991" s="137"/>
      <c r="I991" s="137"/>
      <c r="J991" s="137"/>
      <c r="K991" s="137"/>
      <c r="L991" s="137"/>
      <c r="M991" s="137"/>
      <c r="N991" s="137"/>
      <c r="O991" s="137"/>
      <c r="P991" s="137"/>
      <c r="Q991" s="137"/>
      <c r="R991" s="137"/>
      <c r="S991" s="137"/>
      <c r="T991" s="137"/>
      <c r="U991" s="137"/>
      <c r="V991" s="137"/>
      <c r="W991" s="137"/>
    </row>
    <row r="992" spans="1:23" x14ac:dyDescent="0.2">
      <c r="A992" s="137"/>
      <c r="B992" s="137"/>
      <c r="C992" s="137"/>
      <c r="D992" s="137"/>
      <c r="E992" s="137"/>
      <c r="F992" s="137"/>
      <c r="G992" s="137"/>
      <c r="H992" s="137"/>
      <c r="I992" s="137"/>
      <c r="J992" s="137"/>
      <c r="K992" s="137"/>
      <c r="L992" s="137"/>
      <c r="M992" s="137"/>
      <c r="N992" s="137"/>
      <c r="O992" s="137"/>
      <c r="P992" s="137"/>
      <c r="Q992" s="137"/>
      <c r="R992" s="137"/>
      <c r="S992" s="137"/>
      <c r="T992" s="137"/>
      <c r="U992" s="137"/>
      <c r="V992" s="137"/>
      <c r="W992" s="137"/>
    </row>
    <row r="993" spans="1:23" x14ac:dyDescent="0.2">
      <c r="A993" s="137"/>
      <c r="B993" s="137"/>
      <c r="C993" s="137"/>
      <c r="D993" s="137"/>
      <c r="E993" s="137"/>
      <c r="F993" s="137"/>
      <c r="G993" s="137"/>
      <c r="H993" s="137"/>
      <c r="I993" s="137"/>
      <c r="J993" s="137"/>
      <c r="K993" s="137"/>
      <c r="L993" s="137"/>
      <c r="M993" s="137"/>
      <c r="N993" s="137"/>
      <c r="O993" s="137"/>
      <c r="P993" s="137"/>
      <c r="Q993" s="137"/>
      <c r="R993" s="137"/>
      <c r="S993" s="137"/>
      <c r="T993" s="137"/>
      <c r="U993" s="137"/>
      <c r="V993" s="137"/>
      <c r="W993" s="137"/>
    </row>
    <row r="994" spans="1:23" x14ac:dyDescent="0.2">
      <c r="A994" s="137"/>
      <c r="B994" s="137"/>
      <c r="C994" s="137"/>
      <c r="D994" s="137"/>
      <c r="E994" s="137"/>
      <c r="F994" s="137"/>
      <c r="G994" s="137"/>
      <c r="H994" s="137"/>
      <c r="I994" s="137"/>
      <c r="J994" s="137"/>
      <c r="K994" s="137"/>
      <c r="L994" s="137"/>
      <c r="M994" s="137"/>
      <c r="N994" s="137"/>
      <c r="O994" s="137"/>
      <c r="P994" s="137"/>
      <c r="Q994" s="137"/>
      <c r="R994" s="137"/>
      <c r="S994" s="137"/>
      <c r="T994" s="137"/>
      <c r="U994" s="137"/>
      <c r="V994" s="137"/>
      <c r="W994" s="137"/>
    </row>
    <row r="995" spans="1:23" x14ac:dyDescent="0.2">
      <c r="A995" s="137"/>
      <c r="B995" s="137"/>
      <c r="C995" s="137"/>
      <c r="D995" s="137"/>
      <c r="E995" s="137"/>
      <c r="F995" s="137"/>
      <c r="G995" s="137"/>
      <c r="H995" s="137"/>
      <c r="I995" s="137"/>
      <c r="J995" s="137"/>
      <c r="K995" s="137"/>
      <c r="L995" s="137"/>
      <c r="M995" s="137"/>
      <c r="N995" s="137"/>
      <c r="O995" s="137"/>
      <c r="P995" s="137"/>
      <c r="Q995" s="137"/>
      <c r="R995" s="137"/>
      <c r="S995" s="137"/>
      <c r="T995" s="137"/>
      <c r="U995" s="137"/>
      <c r="V995" s="137"/>
      <c r="W995" s="137"/>
    </row>
    <row r="996" spans="1:23" x14ac:dyDescent="0.2">
      <c r="A996" s="137"/>
      <c r="B996" s="137"/>
      <c r="C996" s="137"/>
      <c r="D996" s="137"/>
      <c r="E996" s="137"/>
      <c r="F996" s="137"/>
      <c r="G996" s="137"/>
      <c r="H996" s="137"/>
      <c r="I996" s="137"/>
      <c r="J996" s="137"/>
      <c r="K996" s="137"/>
      <c r="L996" s="137"/>
      <c r="M996" s="137"/>
      <c r="N996" s="137"/>
      <c r="O996" s="137"/>
      <c r="P996" s="137"/>
      <c r="Q996" s="137"/>
      <c r="R996" s="137"/>
      <c r="S996" s="137"/>
      <c r="T996" s="137"/>
      <c r="U996" s="137"/>
      <c r="V996" s="137"/>
      <c r="W996" s="137"/>
    </row>
    <row r="997" spans="1:23" x14ac:dyDescent="0.2">
      <c r="A997" s="137"/>
      <c r="B997" s="137"/>
      <c r="C997" s="137"/>
      <c r="D997" s="137"/>
      <c r="E997" s="137"/>
      <c r="F997" s="137"/>
      <c r="G997" s="137"/>
      <c r="H997" s="137"/>
      <c r="I997" s="137"/>
      <c r="J997" s="137"/>
      <c r="K997" s="137"/>
      <c r="L997" s="137"/>
      <c r="M997" s="137"/>
      <c r="N997" s="137"/>
      <c r="O997" s="137"/>
      <c r="P997" s="137"/>
      <c r="Q997" s="137"/>
      <c r="R997" s="137"/>
      <c r="S997" s="137"/>
      <c r="T997" s="137"/>
      <c r="U997" s="137"/>
      <c r="V997" s="137"/>
      <c r="W997" s="137"/>
    </row>
    <row r="998" spans="1:23" x14ac:dyDescent="0.2">
      <c r="A998" s="137"/>
      <c r="B998" s="137"/>
      <c r="C998" s="137"/>
      <c r="D998" s="137"/>
      <c r="E998" s="137"/>
      <c r="F998" s="137"/>
      <c r="G998" s="137"/>
      <c r="H998" s="137"/>
      <c r="I998" s="137"/>
      <c r="J998" s="137"/>
      <c r="K998" s="137"/>
      <c r="L998" s="137"/>
      <c r="M998" s="137"/>
      <c r="N998" s="137"/>
      <c r="O998" s="137"/>
      <c r="P998" s="137"/>
      <c r="Q998" s="137"/>
      <c r="R998" s="137"/>
      <c r="S998" s="137"/>
      <c r="T998" s="137"/>
      <c r="U998" s="137"/>
      <c r="V998" s="137"/>
      <c r="W998" s="137"/>
    </row>
    <row r="999" spans="1:23" x14ac:dyDescent="0.2">
      <c r="A999" s="137"/>
      <c r="B999" s="137"/>
      <c r="C999" s="137"/>
      <c r="D999" s="137"/>
      <c r="E999" s="137"/>
      <c r="F999" s="137"/>
      <c r="G999" s="137"/>
      <c r="H999" s="137"/>
      <c r="I999" s="137"/>
      <c r="J999" s="137"/>
      <c r="K999" s="137"/>
      <c r="L999" s="137"/>
      <c r="M999" s="137"/>
      <c r="N999" s="137"/>
      <c r="O999" s="137"/>
      <c r="P999" s="137"/>
      <c r="Q999" s="137"/>
      <c r="R999" s="137"/>
      <c r="S999" s="137"/>
      <c r="T999" s="137"/>
      <c r="U999" s="137"/>
      <c r="V999" s="137"/>
      <c r="W999" s="137"/>
    </row>
    <row r="1000" spans="1:23" x14ac:dyDescent="0.2">
      <c r="A1000" s="137"/>
      <c r="B1000" s="137"/>
      <c r="C1000" s="137"/>
      <c r="D1000" s="137"/>
      <c r="E1000" s="137"/>
      <c r="F1000" s="137"/>
      <c r="G1000" s="137"/>
      <c r="H1000" s="137"/>
      <c r="I1000" s="137"/>
      <c r="J1000" s="137"/>
      <c r="K1000" s="137"/>
      <c r="L1000" s="137"/>
      <c r="M1000" s="137"/>
      <c r="N1000" s="137"/>
      <c r="O1000" s="137"/>
      <c r="P1000" s="137"/>
      <c r="Q1000" s="137"/>
      <c r="R1000" s="137"/>
      <c r="S1000" s="137"/>
      <c r="T1000" s="137"/>
      <c r="U1000" s="137"/>
      <c r="V1000" s="137"/>
      <c r="W1000" s="137"/>
    </row>
    <row r="1001" spans="1:23" x14ac:dyDescent="0.2">
      <c r="A1001" s="137"/>
      <c r="B1001" s="137"/>
      <c r="C1001" s="137"/>
      <c r="D1001" s="137"/>
      <c r="E1001" s="137"/>
      <c r="F1001" s="137"/>
      <c r="G1001" s="137"/>
      <c r="H1001" s="137"/>
      <c r="I1001" s="137"/>
      <c r="J1001" s="137"/>
      <c r="K1001" s="137"/>
      <c r="L1001" s="137"/>
      <c r="M1001" s="137"/>
      <c r="N1001" s="137"/>
      <c r="O1001" s="137"/>
      <c r="P1001" s="137"/>
      <c r="Q1001" s="137"/>
      <c r="R1001" s="137"/>
      <c r="S1001" s="137"/>
      <c r="T1001" s="137"/>
      <c r="U1001" s="137"/>
      <c r="V1001" s="137"/>
      <c r="W1001" s="137"/>
    </row>
    <row r="1002" spans="1:23" x14ac:dyDescent="0.2">
      <c r="A1002" s="137"/>
      <c r="B1002" s="137"/>
      <c r="C1002" s="137"/>
      <c r="D1002" s="137"/>
      <c r="E1002" s="137"/>
      <c r="F1002" s="137"/>
      <c r="G1002" s="137"/>
      <c r="H1002" s="137"/>
      <c r="I1002" s="137"/>
      <c r="J1002" s="137"/>
      <c r="K1002" s="137"/>
      <c r="L1002" s="137"/>
      <c r="M1002" s="137"/>
      <c r="N1002" s="137"/>
      <c r="O1002" s="137"/>
      <c r="P1002" s="137"/>
      <c r="Q1002" s="137"/>
      <c r="R1002" s="137"/>
      <c r="S1002" s="137"/>
      <c r="T1002" s="137"/>
      <c r="U1002" s="137"/>
      <c r="V1002" s="137"/>
      <c r="W1002" s="137"/>
    </row>
    <row r="1003" spans="1:23" x14ac:dyDescent="0.2">
      <c r="A1003" s="137"/>
      <c r="B1003" s="137"/>
      <c r="C1003" s="137"/>
      <c r="D1003" s="137"/>
      <c r="E1003" s="137"/>
      <c r="F1003" s="137"/>
      <c r="G1003" s="137"/>
      <c r="H1003" s="137"/>
      <c r="I1003" s="137"/>
      <c r="J1003" s="137"/>
      <c r="K1003" s="137"/>
      <c r="L1003" s="137"/>
      <c r="M1003" s="137"/>
      <c r="N1003" s="137"/>
      <c r="O1003" s="137"/>
      <c r="P1003" s="137"/>
      <c r="Q1003" s="137"/>
      <c r="R1003" s="137"/>
      <c r="S1003" s="137"/>
      <c r="T1003" s="137"/>
      <c r="U1003" s="137"/>
      <c r="V1003" s="137"/>
      <c r="W1003" s="137"/>
    </row>
    <row r="1004" spans="1:23" x14ac:dyDescent="0.2">
      <c r="A1004" s="137"/>
      <c r="B1004" s="137"/>
      <c r="C1004" s="137"/>
      <c r="D1004" s="137"/>
      <c r="E1004" s="137"/>
      <c r="F1004" s="137"/>
      <c r="G1004" s="137"/>
      <c r="H1004" s="137"/>
      <c r="I1004" s="137"/>
      <c r="J1004" s="137"/>
      <c r="K1004" s="137"/>
      <c r="L1004" s="137"/>
      <c r="M1004" s="137"/>
      <c r="N1004" s="137"/>
      <c r="O1004" s="137"/>
      <c r="P1004" s="137"/>
      <c r="Q1004" s="137"/>
      <c r="R1004" s="137"/>
      <c r="S1004" s="137"/>
      <c r="T1004" s="137"/>
      <c r="U1004" s="137"/>
      <c r="V1004" s="137"/>
      <c r="W1004" s="137"/>
    </row>
    <row r="1005" spans="1:23" x14ac:dyDescent="0.2">
      <c r="A1005" s="137"/>
      <c r="B1005" s="137"/>
      <c r="C1005" s="137"/>
      <c r="D1005" s="137"/>
      <c r="E1005" s="137"/>
      <c r="F1005" s="137"/>
      <c r="G1005" s="137"/>
      <c r="H1005" s="137"/>
      <c r="I1005" s="137"/>
      <c r="J1005" s="137"/>
      <c r="K1005" s="137"/>
      <c r="L1005" s="137"/>
      <c r="M1005" s="137"/>
      <c r="N1005" s="137"/>
      <c r="O1005" s="137"/>
      <c r="P1005" s="137"/>
      <c r="Q1005" s="137"/>
      <c r="R1005" s="137"/>
      <c r="S1005" s="137"/>
      <c r="T1005" s="137"/>
      <c r="U1005" s="137"/>
      <c r="V1005" s="137"/>
      <c r="W1005" s="137"/>
    </row>
  </sheetData>
  <mergeCells count="4">
    <mergeCell ref="A1:F1"/>
    <mergeCell ref="J1:L1"/>
    <mergeCell ref="B12:F12"/>
    <mergeCell ref="A14:F14"/>
  </mergeCells>
  <conditionalFormatting sqref="B2:C3 B8:C8">
    <cfRule type="containsText" dxfId="3" priority="1" operator="containsText" text="!">
      <formula>NOT(ISERROR(SEARCH(("!"),(B2))))</formula>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000000"/>
    <outlinePr summaryBelow="0" summaryRight="0"/>
  </sheetPr>
  <dimension ref="A1:B64"/>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13.85546875" customWidth="1"/>
    <col min="2" max="2" width="96.7109375" customWidth="1"/>
  </cols>
  <sheetData>
    <row r="1" spans="1:2" ht="27" customHeight="1" x14ac:dyDescent="0.2">
      <c r="A1" s="1" t="s">
        <v>29</v>
      </c>
      <c r="B1" s="1" t="s">
        <v>30</v>
      </c>
    </row>
    <row r="2" spans="1:2" ht="45" customHeight="1" x14ac:dyDescent="0.2">
      <c r="A2" s="9" t="s">
        <v>31</v>
      </c>
      <c r="B2" s="10" t="s">
        <v>32</v>
      </c>
    </row>
    <row r="3" spans="1:2" ht="45" customHeight="1" x14ac:dyDescent="0.2">
      <c r="A3" s="9" t="s">
        <v>31</v>
      </c>
      <c r="B3" s="10" t="s">
        <v>33</v>
      </c>
    </row>
    <row r="4" spans="1:2" ht="30" customHeight="1" x14ac:dyDescent="0.2">
      <c r="A4" s="11">
        <v>45321</v>
      </c>
      <c r="B4" s="10" t="s">
        <v>34</v>
      </c>
    </row>
    <row r="5" spans="1:2" ht="30" customHeight="1" x14ac:dyDescent="0.2">
      <c r="A5" s="11">
        <v>45309</v>
      </c>
      <c r="B5" s="10" t="s">
        <v>35</v>
      </c>
    </row>
    <row r="6" spans="1:2" ht="30" customHeight="1" x14ac:dyDescent="0.2">
      <c r="A6" s="11">
        <v>45306</v>
      </c>
      <c r="B6" s="10" t="s">
        <v>36</v>
      </c>
    </row>
    <row r="7" spans="1:2" ht="30" customHeight="1" x14ac:dyDescent="0.2">
      <c r="A7" s="11">
        <v>45295</v>
      </c>
      <c r="B7" s="10" t="s">
        <v>37</v>
      </c>
    </row>
    <row r="8" spans="1:2" ht="30" customHeight="1" x14ac:dyDescent="0.2">
      <c r="A8" s="11">
        <v>45294</v>
      </c>
      <c r="B8" s="10" t="s">
        <v>38</v>
      </c>
    </row>
    <row r="9" spans="1:2" ht="30" customHeight="1" x14ac:dyDescent="0.2">
      <c r="A9" s="11">
        <v>45284</v>
      </c>
      <c r="B9" s="10" t="s">
        <v>39</v>
      </c>
    </row>
    <row r="10" spans="1:2" ht="30" customHeight="1" x14ac:dyDescent="0.2">
      <c r="A10" s="11">
        <v>45269</v>
      </c>
      <c r="B10" s="10" t="s">
        <v>40</v>
      </c>
    </row>
    <row r="11" spans="1:2" ht="30" customHeight="1" x14ac:dyDescent="0.2">
      <c r="A11" s="11">
        <v>45267</v>
      </c>
      <c r="B11" s="10" t="s">
        <v>41</v>
      </c>
    </row>
    <row r="12" spans="1:2" ht="30" customHeight="1" x14ac:dyDescent="0.2">
      <c r="A12" s="11">
        <v>45265</v>
      </c>
      <c r="B12" s="10" t="s">
        <v>42</v>
      </c>
    </row>
    <row r="13" spans="1:2" ht="30" customHeight="1" x14ac:dyDescent="0.2">
      <c r="A13" s="11">
        <v>45259</v>
      </c>
      <c r="B13" s="10" t="s">
        <v>43</v>
      </c>
    </row>
    <row r="14" spans="1:2" ht="30" customHeight="1" x14ac:dyDescent="0.2">
      <c r="A14" s="11">
        <v>45258</v>
      </c>
      <c r="B14" s="10" t="s">
        <v>44</v>
      </c>
    </row>
    <row r="15" spans="1:2" ht="30" customHeight="1" x14ac:dyDescent="0.2">
      <c r="A15" s="11">
        <v>45220</v>
      </c>
      <c r="B15" s="10" t="s">
        <v>45</v>
      </c>
    </row>
    <row r="16" spans="1:2" ht="30" customHeight="1" x14ac:dyDescent="0.2">
      <c r="A16" s="11">
        <v>45214</v>
      </c>
      <c r="B16" s="10" t="s">
        <v>46</v>
      </c>
    </row>
    <row r="17" spans="1:2" ht="30" customHeight="1" x14ac:dyDescent="0.2">
      <c r="A17" s="11">
        <v>45206</v>
      </c>
      <c r="B17" s="10" t="s">
        <v>47</v>
      </c>
    </row>
    <row r="18" spans="1:2" ht="30" customHeight="1" x14ac:dyDescent="0.2">
      <c r="A18" s="11">
        <v>45199</v>
      </c>
      <c r="B18" s="10" t="s">
        <v>48</v>
      </c>
    </row>
    <row r="19" spans="1:2" ht="30" customHeight="1" x14ac:dyDescent="0.2">
      <c r="A19" s="11">
        <v>45198</v>
      </c>
      <c r="B19" s="10" t="s">
        <v>49</v>
      </c>
    </row>
    <row r="20" spans="1:2" ht="30" customHeight="1" x14ac:dyDescent="0.2">
      <c r="A20" s="11">
        <v>45194</v>
      </c>
      <c r="B20" s="10" t="s">
        <v>50</v>
      </c>
    </row>
    <row r="21" spans="1:2" ht="30" customHeight="1" x14ac:dyDescent="0.2">
      <c r="A21" s="11">
        <v>45193</v>
      </c>
      <c r="B21" s="10" t="s">
        <v>51</v>
      </c>
    </row>
    <row r="22" spans="1:2" ht="30" customHeight="1" x14ac:dyDescent="0.2">
      <c r="A22" s="11">
        <v>45191</v>
      </c>
      <c r="B22" s="10" t="s">
        <v>52</v>
      </c>
    </row>
    <row r="23" spans="1:2" ht="30" customHeight="1" x14ac:dyDescent="0.2">
      <c r="A23" s="11">
        <v>45190</v>
      </c>
      <c r="B23" s="10" t="s">
        <v>53</v>
      </c>
    </row>
    <row r="24" spans="1:2" ht="30" customHeight="1" x14ac:dyDescent="0.2">
      <c r="A24" s="11">
        <v>45189</v>
      </c>
      <c r="B24" s="10" t="s">
        <v>54</v>
      </c>
    </row>
    <row r="25" spans="1:2" ht="30" customHeight="1" x14ac:dyDescent="0.2">
      <c r="A25" s="11">
        <v>45188</v>
      </c>
      <c r="B25" s="10" t="s">
        <v>55</v>
      </c>
    </row>
    <row r="26" spans="1:2" ht="30" customHeight="1" x14ac:dyDescent="0.2">
      <c r="A26" s="11">
        <v>45182</v>
      </c>
      <c r="B26" s="10" t="s">
        <v>56</v>
      </c>
    </row>
    <row r="27" spans="1:2" ht="30" customHeight="1" x14ac:dyDescent="0.2">
      <c r="A27" s="11">
        <v>45181</v>
      </c>
      <c r="B27" s="10" t="s">
        <v>57</v>
      </c>
    </row>
    <row r="28" spans="1:2" ht="30" customHeight="1" x14ac:dyDescent="0.2">
      <c r="A28" s="11">
        <v>45180</v>
      </c>
      <c r="B28" s="10" t="s">
        <v>58</v>
      </c>
    </row>
    <row r="29" spans="1:2" ht="30" customHeight="1" x14ac:dyDescent="0.2">
      <c r="A29" s="11">
        <v>45179</v>
      </c>
      <c r="B29" s="10" t="s">
        <v>59</v>
      </c>
    </row>
    <row r="30" spans="1:2" ht="30" customHeight="1" x14ac:dyDescent="0.2">
      <c r="A30" s="11">
        <v>45178</v>
      </c>
      <c r="B30" s="10" t="s">
        <v>60</v>
      </c>
    </row>
    <row r="31" spans="1:2" ht="30" customHeight="1" x14ac:dyDescent="0.2">
      <c r="A31" s="11">
        <v>45177</v>
      </c>
      <c r="B31" s="10" t="s">
        <v>61</v>
      </c>
    </row>
    <row r="32" spans="1:2" ht="30" customHeight="1" x14ac:dyDescent="0.2">
      <c r="A32" s="11">
        <v>45176</v>
      </c>
      <c r="B32" s="10" t="s">
        <v>62</v>
      </c>
    </row>
    <row r="33" spans="1:2" ht="30" customHeight="1" x14ac:dyDescent="0.2">
      <c r="A33" s="11">
        <v>45175</v>
      </c>
      <c r="B33" s="10" t="s">
        <v>63</v>
      </c>
    </row>
    <row r="34" spans="1:2" ht="30" customHeight="1" x14ac:dyDescent="0.2">
      <c r="A34" s="11">
        <v>45174</v>
      </c>
      <c r="B34" s="12" t="s">
        <v>64</v>
      </c>
    </row>
    <row r="35" spans="1:2" ht="30" customHeight="1" x14ac:dyDescent="0.2">
      <c r="A35" s="11">
        <v>45173</v>
      </c>
      <c r="B35" s="10" t="s">
        <v>65</v>
      </c>
    </row>
    <row r="36" spans="1:2" ht="30" customHeight="1" x14ac:dyDescent="0.2">
      <c r="A36" s="11">
        <v>45172</v>
      </c>
      <c r="B36" s="10" t="s">
        <v>66</v>
      </c>
    </row>
    <row r="37" spans="1:2" ht="30" customHeight="1" x14ac:dyDescent="0.2">
      <c r="A37" s="11">
        <v>45167</v>
      </c>
      <c r="B37" s="10" t="s">
        <v>67</v>
      </c>
    </row>
    <row r="38" spans="1:2" ht="30" customHeight="1" x14ac:dyDescent="0.2">
      <c r="A38" s="11">
        <v>45166</v>
      </c>
      <c r="B38" s="10" t="s">
        <v>68</v>
      </c>
    </row>
    <row r="39" spans="1:2" ht="30" customHeight="1" x14ac:dyDescent="0.2">
      <c r="A39" s="11">
        <v>45165</v>
      </c>
      <c r="B39" s="10" t="s">
        <v>69</v>
      </c>
    </row>
    <row r="40" spans="1:2" ht="30" customHeight="1" x14ac:dyDescent="0.2">
      <c r="A40" s="11">
        <v>45164</v>
      </c>
      <c r="B40" s="10" t="s">
        <v>70</v>
      </c>
    </row>
    <row r="41" spans="1:2" ht="30" customHeight="1" x14ac:dyDescent="0.2">
      <c r="A41" s="11">
        <v>45163</v>
      </c>
      <c r="B41" s="10" t="s">
        <v>71</v>
      </c>
    </row>
    <row r="42" spans="1:2" ht="30" customHeight="1" x14ac:dyDescent="0.2">
      <c r="A42" s="11">
        <v>45162</v>
      </c>
      <c r="B42" s="10" t="s">
        <v>72</v>
      </c>
    </row>
    <row r="43" spans="1:2" ht="46.5" customHeight="1" x14ac:dyDescent="0.2">
      <c r="A43" s="11">
        <v>45161</v>
      </c>
      <c r="B43" s="10" t="s">
        <v>73</v>
      </c>
    </row>
    <row r="44" spans="1:2" ht="30" customHeight="1" x14ac:dyDescent="0.2">
      <c r="A44" s="11">
        <v>45160</v>
      </c>
      <c r="B44" s="10" t="s">
        <v>74</v>
      </c>
    </row>
    <row r="45" spans="1:2" ht="30" customHeight="1" x14ac:dyDescent="0.2">
      <c r="A45" s="11">
        <v>45159</v>
      </c>
      <c r="B45" s="10" t="s">
        <v>75</v>
      </c>
    </row>
    <row r="46" spans="1:2" ht="30" customHeight="1" x14ac:dyDescent="0.2">
      <c r="A46" s="11">
        <v>45158</v>
      </c>
      <c r="B46" s="10" t="s">
        <v>76</v>
      </c>
    </row>
    <row r="47" spans="1:2" ht="30" customHeight="1" x14ac:dyDescent="0.2">
      <c r="A47" s="11">
        <v>45157</v>
      </c>
      <c r="B47" s="10" t="s">
        <v>77</v>
      </c>
    </row>
    <row r="48" spans="1:2" ht="30" customHeight="1" x14ac:dyDescent="0.2">
      <c r="A48" s="11">
        <v>45155</v>
      </c>
      <c r="B48" s="13" t="s">
        <v>78</v>
      </c>
    </row>
    <row r="49" spans="1:2" ht="30" customHeight="1" x14ac:dyDescent="0.2">
      <c r="A49" s="11">
        <v>45154</v>
      </c>
      <c r="B49" s="10" t="s">
        <v>79</v>
      </c>
    </row>
    <row r="50" spans="1:2" ht="30" customHeight="1" x14ac:dyDescent="0.2">
      <c r="A50" s="11">
        <v>45153</v>
      </c>
      <c r="B50" s="10" t="s">
        <v>80</v>
      </c>
    </row>
    <row r="51" spans="1:2" ht="30" customHeight="1" x14ac:dyDescent="0.2">
      <c r="A51" s="11">
        <v>45152</v>
      </c>
      <c r="B51" s="10" t="s">
        <v>81</v>
      </c>
    </row>
    <row r="52" spans="1:2" ht="30" customHeight="1" x14ac:dyDescent="0.2">
      <c r="A52" s="11">
        <v>45151</v>
      </c>
      <c r="B52" s="10" t="s">
        <v>82</v>
      </c>
    </row>
    <row r="53" spans="1:2" ht="30" customHeight="1" x14ac:dyDescent="0.2">
      <c r="A53" s="11">
        <v>45150</v>
      </c>
      <c r="B53" s="10" t="s">
        <v>83</v>
      </c>
    </row>
    <row r="54" spans="1:2" ht="30" customHeight="1" x14ac:dyDescent="0.2">
      <c r="A54" s="11">
        <v>45149</v>
      </c>
      <c r="B54" s="10" t="s">
        <v>84</v>
      </c>
    </row>
    <row r="55" spans="1:2" ht="30" customHeight="1" x14ac:dyDescent="0.2">
      <c r="A55" s="11">
        <v>45148</v>
      </c>
      <c r="B55" s="10" t="s">
        <v>85</v>
      </c>
    </row>
    <row r="56" spans="1:2" ht="30" customHeight="1" x14ac:dyDescent="0.2">
      <c r="A56" s="11">
        <v>45146</v>
      </c>
      <c r="B56" s="10" t="s">
        <v>86</v>
      </c>
    </row>
    <row r="57" spans="1:2" ht="30" customHeight="1" x14ac:dyDescent="0.2">
      <c r="A57" s="11">
        <v>45145</v>
      </c>
      <c r="B57" s="10" t="s">
        <v>87</v>
      </c>
    </row>
    <row r="58" spans="1:2" ht="30" customHeight="1" x14ac:dyDescent="0.2">
      <c r="A58" s="11">
        <v>45144</v>
      </c>
      <c r="B58" s="10" t="s">
        <v>88</v>
      </c>
    </row>
    <row r="59" spans="1:2" ht="30" customHeight="1" x14ac:dyDescent="0.2">
      <c r="A59" s="11">
        <v>45137</v>
      </c>
      <c r="B59" s="10" t="s">
        <v>89</v>
      </c>
    </row>
    <row r="60" spans="1:2" ht="30" customHeight="1" x14ac:dyDescent="0.2">
      <c r="A60" s="11">
        <v>45131</v>
      </c>
      <c r="B60" s="10" t="s">
        <v>90</v>
      </c>
    </row>
    <row r="61" spans="1:2" ht="30" customHeight="1" x14ac:dyDescent="0.2">
      <c r="A61" s="11">
        <v>45125</v>
      </c>
      <c r="B61" s="10" t="s">
        <v>91</v>
      </c>
    </row>
    <row r="62" spans="1:2" ht="30" customHeight="1" x14ac:dyDescent="0.2">
      <c r="A62" s="11">
        <v>45124</v>
      </c>
      <c r="B62" s="10" t="s">
        <v>92</v>
      </c>
    </row>
    <row r="63" spans="1:2" ht="30" customHeight="1" x14ac:dyDescent="0.2">
      <c r="A63" s="11">
        <v>45120</v>
      </c>
      <c r="B63" s="10" t="s">
        <v>93</v>
      </c>
    </row>
    <row r="64" spans="1:2" ht="30" customHeight="1" x14ac:dyDescent="0.2">
      <c r="A64" s="11">
        <v>45119</v>
      </c>
      <c r="B64" s="10" t="s">
        <v>94</v>
      </c>
    </row>
  </sheetData>
  <pageMargins left="0.7" right="0.7" top="0.75" bottom="0.75" header="0.3" footer="0.3"/>
  <tableParts count="1">
    <tablePart r:id="rId1"/>
  </tablePar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rgb="FF0000FF"/>
    <outlinePr summaryBelow="0" summaryRight="0"/>
  </sheetPr>
  <dimension ref="A1:O20"/>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4.5703125" customWidth="1"/>
    <col min="2" max="2" width="10.7109375" customWidth="1"/>
    <col min="3" max="3" width="5.42578125" customWidth="1"/>
    <col min="4" max="4" width="21.5703125" customWidth="1"/>
    <col min="5" max="5" width="7.42578125" customWidth="1"/>
    <col min="6" max="6" width="8.140625" customWidth="1"/>
    <col min="7" max="7" width="9" customWidth="1"/>
    <col min="8" max="8" width="6.5703125" customWidth="1"/>
    <col min="9" max="9" width="8.5703125" customWidth="1"/>
    <col min="10" max="10" width="6.85546875" customWidth="1"/>
    <col min="11" max="11" width="8.140625" customWidth="1"/>
    <col min="12" max="12" width="9.140625" customWidth="1"/>
    <col min="13" max="13" width="12" customWidth="1"/>
    <col min="14" max="14" width="9.140625" customWidth="1"/>
    <col min="15" max="15" width="144.5703125" customWidth="1"/>
  </cols>
  <sheetData>
    <row r="1" spans="1:15" ht="30" customHeight="1" x14ac:dyDescent="0.2">
      <c r="A1" s="28" t="s">
        <v>189</v>
      </c>
      <c r="B1" s="28" t="s">
        <v>910</v>
      </c>
      <c r="C1" s="28" t="s">
        <v>356</v>
      </c>
      <c r="D1" s="28" t="s">
        <v>30</v>
      </c>
      <c r="E1" s="28" t="s">
        <v>933</v>
      </c>
      <c r="F1" s="99" t="s">
        <v>637</v>
      </c>
      <c r="G1" s="64" t="s">
        <v>321</v>
      </c>
      <c r="H1" s="64" t="s">
        <v>288</v>
      </c>
      <c r="I1" s="64" t="s">
        <v>257</v>
      </c>
      <c r="J1" s="64" t="s">
        <v>585</v>
      </c>
      <c r="K1" s="99" t="s">
        <v>934</v>
      </c>
      <c r="L1" s="144" t="s">
        <v>588</v>
      </c>
      <c r="M1" s="196" t="s">
        <v>3671</v>
      </c>
      <c r="N1" s="166"/>
      <c r="O1" s="28" t="s">
        <v>3672</v>
      </c>
    </row>
    <row r="2" spans="1:15" ht="30" customHeight="1" x14ac:dyDescent="0.2">
      <c r="A2" s="27">
        <v>1</v>
      </c>
      <c r="B2" s="27" t="s">
        <v>3673</v>
      </c>
      <c r="C2" s="27"/>
      <c r="D2" s="27" t="s">
        <v>556</v>
      </c>
      <c r="E2" s="31">
        <v>0</v>
      </c>
      <c r="F2" s="52">
        <f>502166/1.22*5</f>
        <v>2058057.3770491804</v>
      </c>
      <c r="G2" s="31"/>
      <c r="H2" s="31"/>
      <c r="I2" s="31">
        <v>1.3</v>
      </c>
      <c r="J2" s="31"/>
      <c r="K2" s="52">
        <f t="shared" ref="K2:K19" si="0">PRODUCT(F2:J2)</f>
        <v>2675474.5901639345</v>
      </c>
      <c r="L2" s="62">
        <f>K2</f>
        <v>2675474.5901639345</v>
      </c>
      <c r="M2" s="145" t="s">
        <v>3674</v>
      </c>
      <c r="N2" s="146">
        <f>L19</f>
        <v>27619818.716994081</v>
      </c>
      <c r="O2" s="197"/>
    </row>
    <row r="3" spans="1:15" ht="30" customHeight="1" x14ac:dyDescent="0.2">
      <c r="A3" s="27">
        <v>12</v>
      </c>
      <c r="B3" s="27" t="s">
        <v>3675</v>
      </c>
      <c r="C3" s="27"/>
      <c r="D3" s="27" t="s">
        <v>1338</v>
      </c>
      <c r="E3" s="31">
        <v>0.61599999999999999</v>
      </c>
      <c r="F3" s="52">
        <v>156865</v>
      </c>
      <c r="G3" s="31">
        <v>1.17</v>
      </c>
      <c r="H3" s="31">
        <v>1.35</v>
      </c>
      <c r="I3" s="31">
        <v>1.3</v>
      </c>
      <c r="J3" s="31"/>
      <c r="K3" s="52">
        <f t="shared" si="0"/>
        <v>322098.74774999998</v>
      </c>
      <c r="L3" s="62">
        <f t="shared" ref="L3:L19" si="1">K3+L2</f>
        <v>2997573.3379139346</v>
      </c>
      <c r="M3" s="147" t="s">
        <v>1969</v>
      </c>
      <c r="N3" s="146">
        <f>L19/12.996</f>
        <v>2125255.3644963126</v>
      </c>
      <c r="O3" s="158"/>
    </row>
    <row r="4" spans="1:15" ht="30" customHeight="1" x14ac:dyDescent="0.2">
      <c r="A4" s="27">
        <v>2</v>
      </c>
      <c r="B4" s="27" t="s">
        <v>3673</v>
      </c>
      <c r="C4" s="27"/>
      <c r="D4" s="27" t="s">
        <v>965</v>
      </c>
      <c r="E4" s="31">
        <v>1.149</v>
      </c>
      <c r="F4" s="52">
        <f>174025*1.15*5</f>
        <v>1000643.7499999999</v>
      </c>
      <c r="G4" s="31">
        <v>1.22</v>
      </c>
      <c r="H4" s="31">
        <v>1.35</v>
      </c>
      <c r="I4" s="31">
        <v>1.3</v>
      </c>
      <c r="J4" s="31">
        <v>1.0777000000000001</v>
      </c>
      <c r="K4" s="52">
        <f t="shared" si="0"/>
        <v>2308948.8996088128</v>
      </c>
      <c r="L4" s="62">
        <f t="shared" si="1"/>
        <v>5306522.2375227474</v>
      </c>
      <c r="M4" s="148"/>
      <c r="N4" s="149"/>
      <c r="O4" s="158"/>
    </row>
    <row r="5" spans="1:15" ht="30" customHeight="1" x14ac:dyDescent="0.2">
      <c r="A5" s="27">
        <v>13</v>
      </c>
      <c r="B5" s="27" t="s">
        <v>3675</v>
      </c>
      <c r="C5" s="27"/>
      <c r="D5" s="27" t="s">
        <v>1339</v>
      </c>
      <c r="E5" s="31">
        <v>2.133</v>
      </c>
      <c r="F5" s="52">
        <v>156865</v>
      </c>
      <c r="G5" s="31">
        <v>1.17</v>
      </c>
      <c r="H5" s="31">
        <v>1.35</v>
      </c>
      <c r="I5" s="31">
        <v>1.3</v>
      </c>
      <c r="J5" s="31"/>
      <c r="K5" s="52">
        <f t="shared" si="0"/>
        <v>322098.74774999998</v>
      </c>
      <c r="L5" s="62">
        <f t="shared" si="1"/>
        <v>5628620.9852727475</v>
      </c>
      <c r="M5" s="192" t="s">
        <v>3676</v>
      </c>
      <c r="N5" s="166"/>
      <c r="O5" s="158"/>
    </row>
    <row r="6" spans="1:15" ht="30" customHeight="1" x14ac:dyDescent="0.2">
      <c r="A6" s="27">
        <v>3</v>
      </c>
      <c r="B6" s="27" t="s">
        <v>3673</v>
      </c>
      <c r="C6" s="27"/>
      <c r="D6" s="27" t="s">
        <v>966</v>
      </c>
      <c r="E6" s="31">
        <v>2.2320000000000002</v>
      </c>
      <c r="F6" s="52">
        <f t="shared" ref="F6:F8" si="2">174025*1.15*5</f>
        <v>1000643.7499999999</v>
      </c>
      <c r="G6" s="31">
        <v>1.22</v>
      </c>
      <c r="H6" s="31">
        <v>1.35</v>
      </c>
      <c r="I6" s="31">
        <v>1.3</v>
      </c>
      <c r="J6" s="31">
        <v>1.0777000000000001</v>
      </c>
      <c r="K6" s="52">
        <f t="shared" si="0"/>
        <v>2308948.8996088128</v>
      </c>
      <c r="L6" s="62">
        <f t="shared" si="1"/>
        <v>7937569.8848815598</v>
      </c>
      <c r="M6" s="150" t="s">
        <v>2010</v>
      </c>
      <c r="N6" s="151">
        <v>1.149</v>
      </c>
      <c r="O6" s="158"/>
    </row>
    <row r="7" spans="1:15" ht="30" customHeight="1" x14ac:dyDescent="0.2">
      <c r="A7" s="27">
        <v>4</v>
      </c>
      <c r="B7" s="27" t="s">
        <v>3673</v>
      </c>
      <c r="C7" s="27"/>
      <c r="D7" s="27" t="s">
        <v>967</v>
      </c>
      <c r="E7" s="31">
        <v>3.3150000000000004</v>
      </c>
      <c r="F7" s="52">
        <f t="shared" si="2"/>
        <v>1000643.7499999999</v>
      </c>
      <c r="G7" s="31">
        <v>1.22</v>
      </c>
      <c r="H7" s="31">
        <v>1.35</v>
      </c>
      <c r="I7" s="31">
        <v>1.3</v>
      </c>
      <c r="J7" s="31">
        <v>1.0777000000000001</v>
      </c>
      <c r="K7" s="52">
        <f t="shared" si="0"/>
        <v>2308948.8996088128</v>
      </c>
      <c r="L7" s="62">
        <f t="shared" si="1"/>
        <v>10246518.784490373</v>
      </c>
      <c r="M7" s="150" t="s">
        <v>2046</v>
      </c>
      <c r="N7" s="151">
        <v>3.3149999999999999</v>
      </c>
      <c r="O7" s="158"/>
    </row>
    <row r="8" spans="1:15" ht="30" customHeight="1" x14ac:dyDescent="0.2">
      <c r="A8" s="27">
        <v>5</v>
      </c>
      <c r="B8" s="27" t="s">
        <v>3673</v>
      </c>
      <c r="C8" s="27"/>
      <c r="D8" s="27" t="s">
        <v>968</v>
      </c>
      <c r="E8" s="31">
        <v>4.3980000000000006</v>
      </c>
      <c r="F8" s="52">
        <f t="shared" si="2"/>
        <v>1000643.7499999999</v>
      </c>
      <c r="G8" s="31">
        <v>1.22</v>
      </c>
      <c r="H8" s="31">
        <v>1.35</v>
      </c>
      <c r="I8" s="31">
        <v>1.3</v>
      </c>
      <c r="J8" s="31">
        <v>1.0777000000000001</v>
      </c>
      <c r="K8" s="52">
        <f t="shared" si="0"/>
        <v>2308948.8996088128</v>
      </c>
      <c r="L8" s="62">
        <f t="shared" si="1"/>
        <v>12555467.684099186</v>
      </c>
      <c r="M8" s="150" t="s">
        <v>2056</v>
      </c>
      <c r="N8" s="151">
        <v>2.2320000000000002</v>
      </c>
      <c r="O8" s="158"/>
    </row>
    <row r="9" spans="1:15" ht="30" customHeight="1" x14ac:dyDescent="0.2">
      <c r="A9" s="27">
        <v>14</v>
      </c>
      <c r="B9" s="27" t="s">
        <v>3675</v>
      </c>
      <c r="C9" s="27"/>
      <c r="D9" s="27" t="s">
        <v>3677</v>
      </c>
      <c r="E9" s="31">
        <v>4.569</v>
      </c>
      <c r="F9" s="52">
        <f>19500*8</f>
        <v>156000</v>
      </c>
      <c r="G9" s="31">
        <v>1.1000000000000001</v>
      </c>
      <c r="H9" s="31">
        <v>1.35</v>
      </c>
      <c r="I9" s="31">
        <v>1.3</v>
      </c>
      <c r="J9" s="31">
        <v>1.0777000000000001</v>
      </c>
      <c r="K9" s="52">
        <f t="shared" si="0"/>
        <v>324557.97660000011</v>
      </c>
      <c r="L9" s="62">
        <f t="shared" si="1"/>
        <v>12880025.660699187</v>
      </c>
      <c r="M9" s="150" t="s">
        <v>3678</v>
      </c>
      <c r="N9" s="151">
        <v>5.8310000000000004</v>
      </c>
      <c r="O9" s="158"/>
    </row>
    <row r="10" spans="1:15" ht="30" customHeight="1" x14ac:dyDescent="0.2">
      <c r="A10" s="27">
        <v>6</v>
      </c>
      <c r="B10" s="27" t="s">
        <v>3673</v>
      </c>
      <c r="C10" s="27"/>
      <c r="D10" s="27" t="s">
        <v>969</v>
      </c>
      <c r="E10" s="31">
        <v>5.8310000000000004</v>
      </c>
      <c r="F10" s="52">
        <f>174025*1.15*5</f>
        <v>1000643.7499999999</v>
      </c>
      <c r="G10" s="31">
        <v>1.22</v>
      </c>
      <c r="H10" s="31">
        <v>1.35</v>
      </c>
      <c r="I10" s="31">
        <v>1.3</v>
      </c>
      <c r="J10" s="31">
        <v>1.0777000000000001</v>
      </c>
      <c r="K10" s="52">
        <f t="shared" si="0"/>
        <v>2308948.8996088128</v>
      </c>
      <c r="L10" s="62">
        <f t="shared" si="1"/>
        <v>15188974.560308</v>
      </c>
      <c r="M10" s="150" t="s">
        <v>2090</v>
      </c>
      <c r="N10" s="151">
        <v>7.2640000000000002</v>
      </c>
      <c r="O10" s="158"/>
    </row>
    <row r="11" spans="1:15" ht="30" customHeight="1" x14ac:dyDescent="0.2">
      <c r="A11" s="27">
        <v>15</v>
      </c>
      <c r="B11" s="27" t="s">
        <v>3675</v>
      </c>
      <c r="C11" s="27"/>
      <c r="D11" s="27" t="s">
        <v>3679</v>
      </c>
      <c r="E11" s="31">
        <v>6.7010000000000005</v>
      </c>
      <c r="F11" s="52">
        <f>33003*6</f>
        <v>198018</v>
      </c>
      <c r="G11" s="31">
        <v>1.17</v>
      </c>
      <c r="H11" s="31">
        <v>1.35</v>
      </c>
      <c r="I11" s="31">
        <v>1.3</v>
      </c>
      <c r="J11" s="31">
        <v>1.0777000000000001</v>
      </c>
      <c r="K11" s="52">
        <f t="shared" si="0"/>
        <v>438193.10052531015</v>
      </c>
      <c r="L11" s="62">
        <f t="shared" si="1"/>
        <v>15627167.66083331</v>
      </c>
      <c r="M11" s="150" t="s">
        <v>2106</v>
      </c>
      <c r="N11" s="151">
        <v>2.133</v>
      </c>
      <c r="O11" s="158"/>
    </row>
    <row r="12" spans="1:15" ht="30" customHeight="1" x14ac:dyDescent="0.2">
      <c r="A12" s="27">
        <v>7</v>
      </c>
      <c r="B12" s="27" t="s">
        <v>3673</v>
      </c>
      <c r="C12" s="27"/>
      <c r="D12" s="27" t="s">
        <v>970</v>
      </c>
      <c r="E12" s="31">
        <v>7.2640000000000002</v>
      </c>
      <c r="F12" s="52">
        <f>174025*1.15*5</f>
        <v>1000643.7499999999</v>
      </c>
      <c r="G12" s="31">
        <v>1.22</v>
      </c>
      <c r="H12" s="31">
        <v>1.35</v>
      </c>
      <c r="I12" s="31">
        <v>1.3</v>
      </c>
      <c r="J12" s="31">
        <v>1.0777000000000001</v>
      </c>
      <c r="K12" s="52">
        <f t="shared" si="0"/>
        <v>2308948.8996088128</v>
      </c>
      <c r="L12" s="62">
        <f t="shared" si="1"/>
        <v>17936116.560442124</v>
      </c>
      <c r="M12" s="150" t="s">
        <v>3680</v>
      </c>
      <c r="N12" s="151">
        <v>3.3149999999999999</v>
      </c>
      <c r="O12" s="158"/>
    </row>
    <row r="13" spans="1:15" ht="30" customHeight="1" x14ac:dyDescent="0.2">
      <c r="A13" s="27">
        <v>16</v>
      </c>
      <c r="B13" s="27" t="s">
        <v>3675</v>
      </c>
      <c r="C13" s="27"/>
      <c r="D13" s="27" t="s">
        <v>3681</v>
      </c>
      <c r="E13" s="31">
        <v>8.5208000000000013</v>
      </c>
      <c r="F13" s="52">
        <f>33003*4</f>
        <v>132012</v>
      </c>
      <c r="G13" s="31">
        <v>1.17</v>
      </c>
      <c r="H13" s="31">
        <v>1.35</v>
      </c>
      <c r="I13" s="31">
        <v>1.3</v>
      </c>
      <c r="J13" s="31">
        <v>1.0777000000000001</v>
      </c>
      <c r="K13" s="52">
        <f t="shared" si="0"/>
        <v>292128.73368354008</v>
      </c>
      <c r="L13" s="62">
        <f t="shared" si="1"/>
        <v>18228245.294125665</v>
      </c>
      <c r="M13" s="30"/>
      <c r="N13" s="61"/>
      <c r="O13" s="158"/>
    </row>
    <row r="14" spans="1:15" ht="30" customHeight="1" x14ac:dyDescent="0.2">
      <c r="A14" s="27">
        <v>8</v>
      </c>
      <c r="B14" s="27" t="s">
        <v>3673</v>
      </c>
      <c r="C14" s="27"/>
      <c r="D14" s="27" t="s">
        <v>971</v>
      </c>
      <c r="E14" s="31">
        <v>8.697000000000001</v>
      </c>
      <c r="F14" s="52">
        <f>174025*1.15*5</f>
        <v>1000643.7499999999</v>
      </c>
      <c r="G14" s="31">
        <v>1.22</v>
      </c>
      <c r="H14" s="31">
        <v>1.35</v>
      </c>
      <c r="I14" s="31">
        <v>1.3</v>
      </c>
      <c r="J14" s="31">
        <v>1.0777000000000001</v>
      </c>
      <c r="K14" s="52">
        <f t="shared" si="0"/>
        <v>2308948.8996088128</v>
      </c>
      <c r="L14" s="62">
        <f t="shared" si="1"/>
        <v>20537194.193734478</v>
      </c>
      <c r="M14" s="30"/>
      <c r="N14" s="61"/>
      <c r="O14" s="158"/>
    </row>
    <row r="15" spans="1:15" ht="30" customHeight="1" x14ac:dyDescent="0.2">
      <c r="A15" s="27">
        <v>17</v>
      </c>
      <c r="B15" s="27" t="s">
        <v>3675</v>
      </c>
      <c r="C15" s="27"/>
      <c r="D15" s="27" t="s">
        <v>1351</v>
      </c>
      <c r="E15" s="31">
        <v>9.6688000000000009</v>
      </c>
      <c r="F15" s="52">
        <v>156865</v>
      </c>
      <c r="G15" s="31">
        <v>1.17</v>
      </c>
      <c r="H15" s="31">
        <v>1.35</v>
      </c>
      <c r="I15" s="31">
        <v>1.3</v>
      </c>
      <c r="J15" s="31"/>
      <c r="K15" s="52">
        <f t="shared" si="0"/>
        <v>322098.74774999998</v>
      </c>
      <c r="L15" s="62">
        <f t="shared" si="1"/>
        <v>20859292.941484477</v>
      </c>
      <c r="M15" s="192" t="s">
        <v>3682</v>
      </c>
      <c r="N15" s="166"/>
      <c r="O15" s="158"/>
    </row>
    <row r="16" spans="1:15" ht="30" customHeight="1" x14ac:dyDescent="0.2">
      <c r="A16" s="27">
        <v>9</v>
      </c>
      <c r="B16" s="27" t="s">
        <v>3673</v>
      </c>
      <c r="C16" s="27"/>
      <c r="D16" s="27" t="s">
        <v>972</v>
      </c>
      <c r="E16" s="31">
        <v>10.130000000000001</v>
      </c>
      <c r="F16" s="52">
        <f t="shared" ref="F16:F17" si="3">174025*1.15*5</f>
        <v>1000643.7499999999</v>
      </c>
      <c r="G16" s="31">
        <v>1.22</v>
      </c>
      <c r="H16" s="31">
        <v>1.35</v>
      </c>
      <c r="I16" s="31">
        <v>1.3</v>
      </c>
      <c r="J16" s="31">
        <v>1.0777000000000001</v>
      </c>
      <c r="K16" s="52">
        <f t="shared" si="0"/>
        <v>2308948.8996088128</v>
      </c>
      <c r="L16" s="62">
        <f t="shared" si="1"/>
        <v>23168241.841093291</v>
      </c>
      <c r="M16" s="145" t="s">
        <v>3683</v>
      </c>
      <c r="N16" s="152">
        <v>37</v>
      </c>
      <c r="O16" s="158"/>
    </row>
    <row r="17" spans="1:15" ht="30" customHeight="1" x14ac:dyDescent="0.2">
      <c r="A17" s="27">
        <v>10</v>
      </c>
      <c r="B17" s="27" t="s">
        <v>3673</v>
      </c>
      <c r="C17" s="27"/>
      <c r="D17" s="27" t="s">
        <v>973</v>
      </c>
      <c r="E17" s="31">
        <v>11.563000000000001</v>
      </c>
      <c r="F17" s="52">
        <f t="shared" si="3"/>
        <v>1000643.7499999999</v>
      </c>
      <c r="G17" s="31">
        <v>1.22</v>
      </c>
      <c r="H17" s="31">
        <v>1.35</v>
      </c>
      <c r="I17" s="31">
        <v>1.3</v>
      </c>
      <c r="J17" s="31">
        <v>1.0777000000000001</v>
      </c>
      <c r="K17" s="52">
        <f t="shared" si="0"/>
        <v>2308948.8996088128</v>
      </c>
      <c r="L17" s="62">
        <f t="shared" si="1"/>
        <v>25477190.740702104</v>
      </c>
      <c r="M17" s="147" t="s">
        <v>588</v>
      </c>
      <c r="N17" s="152">
        <f>N16+(N16+MOD(N16,2)-2)/2</f>
        <v>55</v>
      </c>
      <c r="O17" s="158"/>
    </row>
    <row r="18" spans="1:15" ht="30" customHeight="1" x14ac:dyDescent="0.2">
      <c r="A18" s="27">
        <v>18</v>
      </c>
      <c r="B18" s="27" t="s">
        <v>3675</v>
      </c>
      <c r="C18" s="27"/>
      <c r="D18" s="27" t="s">
        <v>3684</v>
      </c>
      <c r="E18" s="31">
        <v>12.104800000000001</v>
      </c>
      <c r="F18" s="52">
        <f>19500*8</f>
        <v>156000</v>
      </c>
      <c r="G18" s="31">
        <v>1.1000000000000001</v>
      </c>
      <c r="H18" s="31">
        <v>1.35</v>
      </c>
      <c r="I18" s="31">
        <v>1.3</v>
      </c>
      <c r="J18" s="31">
        <v>1.0777000000000001</v>
      </c>
      <c r="K18" s="52">
        <f t="shared" si="0"/>
        <v>324557.97660000011</v>
      </c>
      <c r="L18" s="62">
        <f t="shared" si="1"/>
        <v>25801748.717302103</v>
      </c>
      <c r="M18" s="145" t="s">
        <v>3685</v>
      </c>
      <c r="N18" s="152">
        <v>37</v>
      </c>
      <c r="O18" s="158"/>
    </row>
    <row r="19" spans="1:15" ht="30" customHeight="1" x14ac:dyDescent="0.2">
      <c r="A19" s="27">
        <v>11</v>
      </c>
      <c r="B19" s="27" t="s">
        <v>3673</v>
      </c>
      <c r="C19" s="27"/>
      <c r="D19" s="27" t="s">
        <v>974</v>
      </c>
      <c r="E19" s="31">
        <v>12.996</v>
      </c>
      <c r="F19" s="52">
        <f>174025*1.15/1.27*5</f>
        <v>787908.46456692903</v>
      </c>
      <c r="G19" s="31">
        <v>1.22</v>
      </c>
      <c r="H19" s="31">
        <v>1.35</v>
      </c>
      <c r="I19" s="31">
        <v>1.3</v>
      </c>
      <c r="J19" s="31">
        <v>1.0777000000000001</v>
      </c>
      <c r="K19" s="52">
        <f t="shared" si="0"/>
        <v>1818069.9996919783</v>
      </c>
      <c r="L19" s="62">
        <f t="shared" si="1"/>
        <v>27619818.716994081</v>
      </c>
      <c r="M19" s="147" t="s">
        <v>588</v>
      </c>
      <c r="N19" s="152">
        <f>N18*2-MOD(N18,2)-2</f>
        <v>71</v>
      </c>
      <c r="O19" s="158"/>
    </row>
    <row r="20" spans="1:15" ht="30" customHeight="1" x14ac:dyDescent="0.2">
      <c r="A20" s="198" t="s">
        <v>3686</v>
      </c>
      <c r="B20" s="181"/>
      <c r="C20" s="181"/>
      <c r="D20" s="181"/>
      <c r="E20" s="181"/>
      <c r="F20" s="181"/>
      <c r="G20" s="181"/>
      <c r="H20" s="181"/>
      <c r="I20" s="181"/>
      <c r="J20" s="181"/>
      <c r="K20" s="181"/>
      <c r="L20" s="181"/>
      <c r="M20" s="181"/>
      <c r="N20" s="199"/>
      <c r="O20" s="158"/>
    </row>
  </sheetData>
  <autoFilter ref="A1:K19" xr:uid="{00000000-0009-0000-0000-000013000000}"/>
  <mergeCells count="5">
    <mergeCell ref="M1:N1"/>
    <mergeCell ref="O2:O20"/>
    <mergeCell ref="M5:N5"/>
    <mergeCell ref="M15:N15"/>
    <mergeCell ref="A20:N20"/>
  </mergeCells>
  <conditionalFormatting sqref="C2:C19">
    <cfRule type="containsText" dxfId="2" priority="1" operator="containsText" text="!">
      <formula>NOT(ISERROR(SEARCH(("!"),(C2))))</formula>
    </cfRule>
  </conditionalFormatting>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outlinePr summaryBelow="0" summaryRight="0"/>
  </sheetPr>
  <dimension ref="A1:Q84"/>
  <sheetViews>
    <sheetView workbookViewId="0">
      <pane ySplit="2" topLeftCell="A3" activePane="bottomLeft" state="frozen"/>
      <selection pane="bottomLeft" activeCell="B4" sqref="B4"/>
    </sheetView>
  </sheetViews>
  <sheetFormatPr defaultColWidth="12.5703125" defaultRowHeight="15.75" customHeight="1" x14ac:dyDescent="0.2"/>
  <cols>
    <col min="1" max="1" width="44.42578125" customWidth="1"/>
    <col min="2" max="2" width="5.140625" customWidth="1"/>
    <col min="3" max="17" width="7.5703125" customWidth="1"/>
  </cols>
  <sheetData>
    <row r="1" spans="1:17" ht="12.75" customHeight="1" x14ac:dyDescent="0.2">
      <c r="A1" s="200" t="s">
        <v>3687</v>
      </c>
      <c r="B1" s="201"/>
      <c r="C1" s="200" t="s">
        <v>3688</v>
      </c>
      <c r="D1" s="202"/>
      <c r="E1" s="201"/>
      <c r="F1" s="200" t="s">
        <v>3689</v>
      </c>
      <c r="G1" s="202"/>
      <c r="H1" s="202"/>
      <c r="I1" s="202"/>
      <c r="J1" s="202"/>
      <c r="K1" s="202"/>
      <c r="L1" s="201"/>
      <c r="M1" s="200" t="s">
        <v>3690</v>
      </c>
      <c r="N1" s="202"/>
      <c r="O1" s="202"/>
      <c r="P1" s="202"/>
      <c r="Q1" s="201"/>
    </row>
    <row r="2" spans="1:17" ht="30" customHeight="1" x14ac:dyDescent="0.2">
      <c r="A2" s="153" t="s">
        <v>192</v>
      </c>
      <c r="B2" s="153" t="s">
        <v>356</v>
      </c>
      <c r="C2" s="153" t="s">
        <v>3691</v>
      </c>
      <c r="D2" s="153" t="s">
        <v>19</v>
      </c>
      <c r="E2" s="153" t="s">
        <v>589</v>
      </c>
      <c r="F2" s="153" t="s">
        <v>361</v>
      </c>
      <c r="G2" s="153" t="s">
        <v>637</v>
      </c>
      <c r="H2" s="153" t="s">
        <v>582</v>
      </c>
      <c r="I2" s="153" t="s">
        <v>584</v>
      </c>
      <c r="J2" s="153" t="s">
        <v>288</v>
      </c>
      <c r="K2" s="153" t="s">
        <v>257</v>
      </c>
      <c r="L2" s="153" t="s">
        <v>585</v>
      </c>
      <c r="M2" s="153" t="s">
        <v>17</v>
      </c>
      <c r="N2" s="153" t="s">
        <v>3691</v>
      </c>
      <c r="O2" s="153" t="s">
        <v>19</v>
      </c>
      <c r="P2" s="153" t="s">
        <v>3692</v>
      </c>
      <c r="Q2" s="153" t="s">
        <v>588</v>
      </c>
    </row>
    <row r="3" spans="1:17" ht="30" customHeight="1" x14ac:dyDescent="0.2">
      <c r="A3" s="27" t="s">
        <v>3693</v>
      </c>
      <c r="B3" s="27"/>
      <c r="C3" s="31" t="s">
        <v>593</v>
      </c>
      <c r="D3" s="31"/>
      <c r="E3" s="31">
        <v>1.3</v>
      </c>
      <c r="F3" s="27" t="s">
        <v>647</v>
      </c>
      <c r="G3" s="30">
        <v>9161</v>
      </c>
      <c r="H3" s="31"/>
      <c r="I3" s="31"/>
      <c r="J3" s="31"/>
      <c r="K3" s="31">
        <v>1.3</v>
      </c>
      <c r="L3" s="31"/>
      <c r="M3" s="30">
        <f t="shared" ref="M3:M84" si="0">PRODUCT(G3:L3)</f>
        <v>11909.300000000001</v>
      </c>
      <c r="N3" s="30" t="str">
        <f ca="1">IFERROR(__xludf.DUMMYFUNCTION("IFERROR(PRODUCT(G3,FILTER(H3:L3,H3:L3&lt;&gt;0))/C3,""N/A"")"),"N/A")</f>
        <v>N/A</v>
      </c>
      <c r="O3" s="30" t="str">
        <f t="shared" ref="O3:O84" si="1">IFERROR(M3/D3,"N/A")</f>
        <v>N/A</v>
      </c>
      <c r="P3" s="30" t="str">
        <f t="shared" ref="P3:P23" si="2">IFERROR(Q3/E3,"N/A")</f>
        <v>N/A</v>
      </c>
      <c r="Q3" s="30" t="str">
        <f t="shared" ref="Q3:Q84" si="3">IF(F3="INF","INF",PRODUCT(F3:L3))</f>
        <v>INF</v>
      </c>
    </row>
    <row r="4" spans="1:17" ht="30" customHeight="1" x14ac:dyDescent="0.2">
      <c r="A4" s="27" t="s">
        <v>3694</v>
      </c>
      <c r="B4" s="27"/>
      <c r="C4" s="31">
        <v>1.0669999999999999</v>
      </c>
      <c r="D4" s="31"/>
      <c r="E4" s="31">
        <f>0.583+21*1.067</f>
        <v>22.99</v>
      </c>
      <c r="F4" s="27">
        <v>22</v>
      </c>
      <c r="G4" s="30">
        <f>(3849*7+21*4620*7)/22</f>
        <v>32094.68181818182</v>
      </c>
      <c r="H4" s="31"/>
      <c r="I4" s="31">
        <v>1.22</v>
      </c>
      <c r="J4" s="31">
        <v>1.25</v>
      </c>
      <c r="K4" s="31">
        <v>1.3</v>
      </c>
      <c r="L4" s="31">
        <v>1.0777000000000001</v>
      </c>
      <c r="M4" s="30">
        <f t="shared" si="0"/>
        <v>68571.579515488644</v>
      </c>
      <c r="N4" s="30">
        <f ca="1">IFERROR(__xludf.DUMMYFUNCTION("IFERROR(PRODUCT(G4,FILTER(H4:L4,H4:L4&lt;&gt;0))/C4,""N/A"")"),64265.7727417887)</f>
        <v>64265.7727417887</v>
      </c>
      <c r="O4" s="30" t="str">
        <f t="shared" si="1"/>
        <v>N/A</v>
      </c>
      <c r="P4" s="30">
        <f t="shared" si="2"/>
        <v>65618.736378458038</v>
      </c>
      <c r="Q4" s="30">
        <f t="shared" si="3"/>
        <v>1508574.7493407503</v>
      </c>
    </row>
    <row r="5" spans="1:17" ht="30" customHeight="1" x14ac:dyDescent="0.2">
      <c r="A5" s="27" t="s">
        <v>3695</v>
      </c>
      <c r="B5" s="27"/>
      <c r="C5" s="31">
        <v>1.1160000000000001</v>
      </c>
      <c r="D5" s="31"/>
      <c r="E5" s="31">
        <f>0.583+21*1.116</f>
        <v>24.019000000000002</v>
      </c>
      <c r="F5" s="27">
        <v>22</v>
      </c>
      <c r="G5" s="30">
        <f>3849*7</f>
        <v>26943</v>
      </c>
      <c r="H5" s="31">
        <v>1.4</v>
      </c>
      <c r="I5" s="31">
        <v>1.22</v>
      </c>
      <c r="J5" s="31">
        <v>1.25</v>
      </c>
      <c r="K5" s="31">
        <v>1.3</v>
      </c>
      <c r="L5" s="31">
        <v>1.0777000000000001</v>
      </c>
      <c r="M5" s="30">
        <f t="shared" si="0"/>
        <v>80590.725538049999</v>
      </c>
      <c r="N5" s="30">
        <f ca="1">IFERROR(__xludf.DUMMYFUNCTION("IFERROR(PRODUCT(G5,FILTER(H5:L5,H5:L5&lt;&gt;0))/C5,""N/A"")"),72213.9117724462)</f>
        <v>72213.911772446198</v>
      </c>
      <c r="O5" s="30" t="str">
        <f t="shared" si="1"/>
        <v>N/A</v>
      </c>
      <c r="P5" s="30">
        <f t="shared" si="2"/>
        <v>73816.393764815337</v>
      </c>
      <c r="Q5" s="30">
        <f t="shared" si="3"/>
        <v>1772995.9618370999</v>
      </c>
    </row>
    <row r="6" spans="1:17" ht="30" customHeight="1" x14ac:dyDescent="0.2">
      <c r="A6" s="27" t="s">
        <v>3696</v>
      </c>
      <c r="B6" s="27"/>
      <c r="C6" s="31">
        <v>0.5</v>
      </c>
      <c r="D6" s="31"/>
      <c r="E6" s="31">
        <f>3*3.033+1.7</f>
        <v>10.798999999999999</v>
      </c>
      <c r="F6" s="27">
        <v>19</v>
      </c>
      <c r="G6" s="30">
        <v>47379</v>
      </c>
      <c r="H6" s="31"/>
      <c r="I6" s="31">
        <v>1.22</v>
      </c>
      <c r="J6" s="31">
        <v>1.25</v>
      </c>
      <c r="K6" s="31">
        <v>1.3</v>
      </c>
      <c r="L6" s="31">
        <v>1.0777000000000001</v>
      </c>
      <c r="M6" s="30">
        <f t="shared" si="0"/>
        <v>101227.14050475</v>
      </c>
      <c r="N6" s="30">
        <f ca="1">IFERROR(__xludf.DUMMYFUNCTION("IFERROR(PRODUCT(G6,FILTER(H6:L6,H6:L6&lt;&gt;0))/C6,""N/A"")"),202454.2810095)</f>
        <v>202454.2810095</v>
      </c>
      <c r="O6" s="30" t="str">
        <f t="shared" si="1"/>
        <v>N/A</v>
      </c>
      <c r="P6" s="30">
        <f t="shared" si="2"/>
        <v>178101.27508012319</v>
      </c>
      <c r="Q6" s="30">
        <f t="shared" si="3"/>
        <v>1923315.6695902501</v>
      </c>
    </row>
    <row r="7" spans="1:17" ht="30" customHeight="1" x14ac:dyDescent="0.2">
      <c r="A7" s="27" t="s">
        <v>3697</v>
      </c>
      <c r="B7" s="27"/>
      <c r="C7" s="31">
        <f>17.666-1.05</f>
        <v>16.616</v>
      </c>
      <c r="D7" s="31"/>
      <c r="E7" s="31">
        <v>17.666</v>
      </c>
      <c r="F7" s="27">
        <v>1</v>
      </c>
      <c r="G7" s="30">
        <f>6333290*(11.360947/100)</f>
        <v>719521.72025629994</v>
      </c>
      <c r="H7" s="31"/>
      <c r="I7" s="31">
        <v>1.22</v>
      </c>
      <c r="J7" s="31">
        <v>1.25</v>
      </c>
      <c r="K7" s="31">
        <v>1.3</v>
      </c>
      <c r="L7" s="31"/>
      <c r="M7" s="30">
        <f t="shared" si="0"/>
        <v>1426451.8104081147</v>
      </c>
      <c r="N7" s="30">
        <f ca="1">IFERROR(__xludf.DUMMYFUNCTION("IFERROR(PRODUCT(G7,FILTER(H7:L7,H7:L7&lt;&gt;0))/C7,""N/A"")"),85848.0868083843)</f>
        <v>85848.086808384294</v>
      </c>
      <c r="O7" s="30" t="str">
        <f t="shared" si="1"/>
        <v>N/A</v>
      </c>
      <c r="P7" s="30">
        <f t="shared" si="2"/>
        <v>80745.602309980459</v>
      </c>
      <c r="Q7" s="30">
        <f t="shared" si="3"/>
        <v>1426451.8104081147</v>
      </c>
    </row>
    <row r="8" spans="1:17" ht="30" customHeight="1" x14ac:dyDescent="0.2">
      <c r="A8" s="27" t="s">
        <v>3698</v>
      </c>
      <c r="B8" s="27"/>
      <c r="C8" s="31">
        <v>0.78300000000000003</v>
      </c>
      <c r="D8" s="31"/>
      <c r="E8" s="31">
        <f>0.783*41</f>
        <v>32.103000000000002</v>
      </c>
      <c r="F8" s="27">
        <v>42</v>
      </c>
      <c r="G8" s="30">
        <f>(30076*1.15*1.47*1.17+30076*1.4*1.1)/2/1.435/1.135</f>
        <v>32480.593488771883</v>
      </c>
      <c r="H8" s="31">
        <f>AVERAGE(1.4,1.47)</f>
        <v>1.4350000000000001</v>
      </c>
      <c r="I8" s="31">
        <f>AVERAGE(1.17,1.1)</f>
        <v>1.135</v>
      </c>
      <c r="J8" s="31">
        <v>1.25</v>
      </c>
      <c r="K8" s="31">
        <v>1.3</v>
      </c>
      <c r="L8" s="31">
        <v>1.0780000000000001</v>
      </c>
      <c r="M8" s="30">
        <f t="shared" si="0"/>
        <v>92670.9990231025</v>
      </c>
      <c r="N8" s="30">
        <f ca="1">IFERROR(__xludf.DUMMYFUNCTION("IFERROR(PRODUCT(G8,FILTER(H8:L8,H8:L8&lt;&gt;0))/C8,""N/A"")"),118353.76631303)</f>
        <v>118353.76631303001</v>
      </c>
      <c r="O8" s="30" t="str">
        <f t="shared" si="1"/>
        <v>N/A</v>
      </c>
      <c r="P8" s="30">
        <f t="shared" si="2"/>
        <v>121240.44354017708</v>
      </c>
      <c r="Q8" s="30">
        <f t="shared" si="3"/>
        <v>3892181.958970305</v>
      </c>
    </row>
    <row r="9" spans="1:17" ht="30" customHeight="1" x14ac:dyDescent="0.2">
      <c r="A9" s="27" t="s">
        <v>3699</v>
      </c>
      <c r="B9" s="27"/>
      <c r="C9" s="31">
        <v>0.83299999999999996</v>
      </c>
      <c r="D9" s="31"/>
      <c r="E9" s="31">
        <f>19*0.833+4*0.916</f>
        <v>19.491</v>
      </c>
      <c r="F9" s="27">
        <v>24</v>
      </c>
      <c r="G9" s="30">
        <f>22212*1.15</f>
        <v>25543.8</v>
      </c>
      <c r="H9" s="31">
        <v>1.2</v>
      </c>
      <c r="I9" s="31">
        <v>1.22</v>
      </c>
      <c r="J9" s="31">
        <v>1.25</v>
      </c>
      <c r="K9" s="31">
        <v>1.3</v>
      </c>
      <c r="L9" s="31">
        <v>1.0777000000000001</v>
      </c>
      <c r="M9" s="30">
        <f t="shared" si="0"/>
        <v>65490.428205539996</v>
      </c>
      <c r="N9" s="30">
        <f ca="1">IFERROR(__xludf.DUMMYFUNCTION("IFERROR(PRODUCT(G9,FILTER(H9:L9,H9:L9&lt;&gt;0))/C9,""N/A"")"),78619.9618313805)</f>
        <v>78619.961831380497</v>
      </c>
      <c r="O9" s="30" t="str">
        <f t="shared" si="1"/>
        <v>N/A</v>
      </c>
      <c r="P9" s="30">
        <f t="shared" si="2"/>
        <v>80640.822786566117</v>
      </c>
      <c r="Q9" s="30">
        <f t="shared" si="3"/>
        <v>1571770.2769329601</v>
      </c>
    </row>
    <row r="10" spans="1:17" ht="30" customHeight="1" x14ac:dyDescent="0.2">
      <c r="A10" s="27" t="s">
        <v>3700</v>
      </c>
      <c r="B10" s="27"/>
      <c r="C10" s="31">
        <f>10.166-0.133</f>
        <v>10.033000000000001</v>
      </c>
      <c r="D10" s="31"/>
      <c r="E10" s="31">
        <f>10.166+9*10.033</f>
        <v>100.46299999999999</v>
      </c>
      <c r="F10" s="27">
        <f>19/2</f>
        <v>9.5</v>
      </c>
      <c r="G10" s="30">
        <v>175002</v>
      </c>
      <c r="H10" s="31"/>
      <c r="I10" s="31">
        <v>1.22</v>
      </c>
      <c r="J10" s="31">
        <v>1.25</v>
      </c>
      <c r="K10" s="31">
        <v>1.3</v>
      </c>
      <c r="L10" s="31"/>
      <c r="M10" s="30">
        <f t="shared" si="0"/>
        <v>346941.46500000003</v>
      </c>
      <c r="N10" s="30">
        <f ca="1">IFERROR(__xludf.DUMMYFUNCTION("IFERROR(PRODUCT(G10,FILTER(H10:L10,H10:L10&lt;&gt;0))/C10,""N/A"")"),34580.0323931027)</f>
        <v>34580.032393102701</v>
      </c>
      <c r="O10" s="30" t="str">
        <f t="shared" si="1"/>
        <v>N/A</v>
      </c>
      <c r="P10" s="30">
        <f t="shared" si="2"/>
        <v>32807.540263579634</v>
      </c>
      <c r="Q10" s="30">
        <f t="shared" si="3"/>
        <v>3295943.9175000004</v>
      </c>
    </row>
    <row r="11" spans="1:17" ht="30" customHeight="1" x14ac:dyDescent="0.2">
      <c r="A11" s="27" t="s">
        <v>3701</v>
      </c>
      <c r="B11" s="27"/>
      <c r="C11" s="31">
        <v>1.466</v>
      </c>
      <c r="D11" s="31"/>
      <c r="E11" s="31">
        <f>0.3+4*1.466+4*2.133</f>
        <v>14.696</v>
      </c>
      <c r="F11" s="27">
        <v>9</v>
      </c>
      <c r="G11" s="30">
        <v>157812</v>
      </c>
      <c r="H11" s="31"/>
      <c r="I11" s="31">
        <v>1.22</v>
      </c>
      <c r="J11" s="31">
        <v>1.25</v>
      </c>
      <c r="K11" s="31">
        <v>1.3</v>
      </c>
      <c r="L11" s="31">
        <v>1.0777000000000001</v>
      </c>
      <c r="M11" s="30">
        <f t="shared" si="0"/>
        <v>337171.68993300002</v>
      </c>
      <c r="N11" s="30">
        <f ca="1">IFERROR(__xludf.DUMMYFUNCTION("IFERROR(PRODUCT(G11,FILTER(H11:L11,H11:L11&lt;&gt;0))/C11,""N/A"")"),229994.331468622)</f>
        <v>229994.331468622</v>
      </c>
      <c r="O11" s="30" t="str">
        <f t="shared" si="1"/>
        <v>N/A</v>
      </c>
      <c r="P11" s="30">
        <f t="shared" si="2"/>
        <v>206487.83406348672</v>
      </c>
      <c r="Q11" s="30">
        <f t="shared" si="3"/>
        <v>3034545.2093970007</v>
      </c>
    </row>
    <row r="12" spans="1:17" ht="30" customHeight="1" x14ac:dyDescent="0.2">
      <c r="A12" s="27" t="s">
        <v>3702</v>
      </c>
      <c r="B12" s="27"/>
      <c r="C12" s="31">
        <v>1.1000000000000001</v>
      </c>
      <c r="D12" s="31"/>
      <c r="E12" s="31">
        <f>SUM(0.3,1.1,2.133,2.133,2.133,2.133,2.133,2.133,2.133)</f>
        <v>16.331</v>
      </c>
      <c r="F12" s="27">
        <v>9</v>
      </c>
      <c r="G12" s="30">
        <v>157812</v>
      </c>
      <c r="H12" s="31"/>
      <c r="I12" s="31">
        <v>1.22</v>
      </c>
      <c r="J12" s="31">
        <v>1.25</v>
      </c>
      <c r="K12" s="31">
        <v>1.3</v>
      </c>
      <c r="L12" s="31">
        <v>1.0777000000000001</v>
      </c>
      <c r="M12" s="30">
        <f t="shared" si="0"/>
        <v>337171.68993300002</v>
      </c>
      <c r="N12" s="30">
        <f ca="1">IFERROR(__xludf.DUMMYFUNCTION("IFERROR(PRODUCT(G12,FILTER(H12:L12,H12:L12&lt;&gt;0))/C12,""N/A"")"),306519.718120909)</f>
        <v>306519.718120909</v>
      </c>
      <c r="O12" s="30" t="str">
        <f t="shared" si="1"/>
        <v>N/A</v>
      </c>
      <c r="P12" s="30">
        <f t="shared" si="2"/>
        <v>185815.02721186704</v>
      </c>
      <c r="Q12" s="30">
        <f t="shared" si="3"/>
        <v>3034545.2093970007</v>
      </c>
    </row>
    <row r="13" spans="1:17" ht="30" customHeight="1" x14ac:dyDescent="0.2">
      <c r="A13" s="27" t="s">
        <v>3703</v>
      </c>
      <c r="B13" s="27"/>
      <c r="C13" s="31">
        <v>1.1000000000000001</v>
      </c>
      <c r="D13" s="31"/>
      <c r="E13" s="31">
        <f>0.3+1.183+7*1.317</f>
        <v>10.702</v>
      </c>
      <c r="F13" s="27">
        <v>9</v>
      </c>
      <c r="G13" s="30">
        <v>157812</v>
      </c>
      <c r="H13" s="31"/>
      <c r="I13" s="31">
        <v>1.22</v>
      </c>
      <c r="J13" s="31">
        <v>1.25</v>
      </c>
      <c r="K13" s="31">
        <v>1.3</v>
      </c>
      <c r="L13" s="31">
        <v>1.0777000000000001</v>
      </c>
      <c r="M13" s="30">
        <f t="shared" si="0"/>
        <v>337171.68993300002</v>
      </c>
      <c r="N13" s="30">
        <f ca="1">IFERROR(__xludf.DUMMYFUNCTION("IFERROR(PRODUCT(G13,FILTER(H13:L13,H13:L13&lt;&gt;0))/C13,""N/A"")"),306519.718120909)</f>
        <v>306519.718120909</v>
      </c>
      <c r="O13" s="30" t="str">
        <f t="shared" si="1"/>
        <v>N/A</v>
      </c>
      <c r="P13" s="30">
        <f t="shared" si="2"/>
        <v>283549.35613875918</v>
      </c>
      <c r="Q13" s="30">
        <f t="shared" si="3"/>
        <v>3034545.2093970007</v>
      </c>
    </row>
    <row r="14" spans="1:17" ht="30" customHeight="1" x14ac:dyDescent="0.2">
      <c r="A14" s="27" t="s">
        <v>3704</v>
      </c>
      <c r="B14" s="27"/>
      <c r="C14" s="31">
        <v>1.1000000000000001</v>
      </c>
      <c r="D14" s="31"/>
      <c r="E14" s="31">
        <f>SUM(0.3,1.1,1.166,1.166,3.517,1.1,1.166,1.166,2.217)</f>
        <v>12.898000000000001</v>
      </c>
      <c r="F14" s="27">
        <v>9</v>
      </c>
      <c r="G14" s="30">
        <v>157812</v>
      </c>
      <c r="H14" s="31"/>
      <c r="I14" s="31">
        <v>1.22</v>
      </c>
      <c r="J14" s="31">
        <v>1.25</v>
      </c>
      <c r="K14" s="31">
        <v>1.3</v>
      </c>
      <c r="L14" s="31">
        <v>1.0777000000000001</v>
      </c>
      <c r="M14" s="30">
        <f t="shared" si="0"/>
        <v>337171.68993300002</v>
      </c>
      <c r="N14" s="30">
        <f ca="1">IFERROR(__xludf.DUMMYFUNCTION("IFERROR(PRODUCT(G14,FILTER(H14:L14,H14:L14&lt;&gt;0))/C14,""N/A"")"),306519.718120909)</f>
        <v>306519.718120909</v>
      </c>
      <c r="O14" s="30" t="str">
        <f t="shared" si="1"/>
        <v>N/A</v>
      </c>
      <c r="P14" s="30">
        <f t="shared" si="2"/>
        <v>235272.53910660569</v>
      </c>
      <c r="Q14" s="30">
        <f t="shared" si="3"/>
        <v>3034545.2093970007</v>
      </c>
    </row>
    <row r="15" spans="1:17" ht="30" customHeight="1" x14ac:dyDescent="0.2">
      <c r="A15" s="27" t="s">
        <v>3705</v>
      </c>
      <c r="B15" s="27"/>
      <c r="C15" s="31">
        <f>3.8-3.633</f>
        <v>0.16699999999999982</v>
      </c>
      <c r="D15" s="31"/>
      <c r="E15" s="31">
        <f>0.233+7*(9.283-5)+0.167</f>
        <v>30.380999999999997</v>
      </c>
      <c r="F15" s="27">
        <v>7.37</v>
      </c>
      <c r="G15" s="30">
        <v>169061</v>
      </c>
      <c r="H15" s="31">
        <v>1.4175</v>
      </c>
      <c r="I15" s="31">
        <v>1.22</v>
      </c>
      <c r="J15" s="31">
        <v>1.25</v>
      </c>
      <c r="K15" s="31">
        <v>1.3</v>
      </c>
      <c r="L15" s="31">
        <v>1.0777000000000001</v>
      </c>
      <c r="M15" s="30">
        <f t="shared" si="0"/>
        <v>512008.9822334419</v>
      </c>
      <c r="N15" s="30">
        <f ca="1">IFERROR(__xludf.DUMMYFUNCTION("IFERROR(PRODUCT(62771,FILTER(H15:L15,H15:L15&lt;&gt;0))/C15,""N/A"")"),1138352.38734385)</f>
        <v>1138352.38734385</v>
      </c>
      <c r="O15" s="30" t="str">
        <f t="shared" si="1"/>
        <v>N/A</v>
      </c>
      <c r="P15" s="30">
        <f t="shared" si="2"/>
        <v>124206.1222165323</v>
      </c>
      <c r="Q15" s="30">
        <f t="shared" si="3"/>
        <v>3773506.1990604675</v>
      </c>
    </row>
    <row r="16" spans="1:17" ht="30" customHeight="1" x14ac:dyDescent="0.2">
      <c r="A16" s="27" t="s">
        <v>3706</v>
      </c>
      <c r="B16" s="27"/>
      <c r="C16" s="31">
        <f>1.7-0.783</f>
        <v>0.91699999999999993</v>
      </c>
      <c r="D16" s="31"/>
      <c r="E16" s="31">
        <v>1.833</v>
      </c>
      <c r="F16" s="27">
        <v>1</v>
      </c>
      <c r="G16" s="30">
        <v>540481</v>
      </c>
      <c r="H16" s="31"/>
      <c r="I16" s="31"/>
      <c r="J16" s="31"/>
      <c r="K16" s="31">
        <v>1.3</v>
      </c>
      <c r="L16" s="31"/>
      <c r="M16" s="30">
        <f t="shared" si="0"/>
        <v>702625.3</v>
      </c>
      <c r="N16" s="30">
        <f ca="1">IFERROR(__xludf.DUMMYFUNCTION("IFERROR(PRODUCT(G16,FILTER(H16:L16,H16:L16&lt;&gt;0))/C16,""N/A"")"),766221.701199563)</f>
        <v>766221.70119956299</v>
      </c>
      <c r="O16" s="30" t="str">
        <f t="shared" si="1"/>
        <v>N/A</v>
      </c>
      <c r="P16" s="30">
        <f t="shared" si="2"/>
        <v>383319.85815602838</v>
      </c>
      <c r="Q16" s="30">
        <f t="shared" si="3"/>
        <v>702625.3</v>
      </c>
    </row>
    <row r="17" spans="1:17" ht="30" customHeight="1" x14ac:dyDescent="0.2">
      <c r="A17" s="27" t="s">
        <v>3707</v>
      </c>
      <c r="B17" s="27"/>
      <c r="C17" s="31">
        <f>0.833-0.433</f>
        <v>0.39999999999999997</v>
      </c>
      <c r="D17" s="31"/>
      <c r="E17" s="31">
        <f>0.433+1.383*21+1.9</f>
        <v>31.375999999999998</v>
      </c>
      <c r="F17" s="27">
        <v>23</v>
      </c>
      <c r="G17" s="30">
        <v>47067</v>
      </c>
      <c r="H17" s="31">
        <v>1.47</v>
      </c>
      <c r="I17" s="31">
        <v>1.22</v>
      </c>
      <c r="J17" s="31">
        <v>1.25</v>
      </c>
      <c r="K17" s="31">
        <v>1.3</v>
      </c>
      <c r="L17" s="31">
        <v>1.0780000000000001</v>
      </c>
      <c r="M17" s="30">
        <f t="shared" si="0"/>
        <v>147865.14357615</v>
      </c>
      <c r="N17" s="30">
        <f ca="1">IFERROR(__xludf.DUMMYFUNCTION("IFERROR(PRODUCT(G17,FILTER(H17:L17,H17:L17&lt;&gt;0))/C17,""N/A"")"),369662.858940375)</f>
        <v>369662.85894037498</v>
      </c>
      <c r="O17" s="30" t="str">
        <f t="shared" si="1"/>
        <v>N/A</v>
      </c>
      <c r="P17" s="30">
        <f t="shared" si="2"/>
        <v>108391.71029613241</v>
      </c>
      <c r="Q17" s="30">
        <f t="shared" si="3"/>
        <v>3400898.3022514503</v>
      </c>
    </row>
    <row r="18" spans="1:17" ht="30" customHeight="1" x14ac:dyDescent="0.2">
      <c r="A18" s="27" t="s">
        <v>3708</v>
      </c>
      <c r="B18" s="27"/>
      <c r="C18" s="31">
        <v>1.05</v>
      </c>
      <c r="D18" s="31"/>
      <c r="E18" s="31">
        <f>0.5+33*1.05+3*(3.733-1.05)</f>
        <v>43.198999999999998</v>
      </c>
      <c r="F18" s="27">
        <v>43</v>
      </c>
      <c r="G18" s="30">
        <v>33409</v>
      </c>
      <c r="H18" s="31">
        <v>1.35</v>
      </c>
      <c r="I18" s="31">
        <v>1.22</v>
      </c>
      <c r="J18" s="31">
        <v>1.25</v>
      </c>
      <c r="K18" s="31">
        <v>1.3</v>
      </c>
      <c r="L18" s="31">
        <v>1.0780000000000001</v>
      </c>
      <c r="M18" s="30">
        <f t="shared" si="0"/>
        <v>96389.383340250017</v>
      </c>
      <c r="N18" s="30">
        <f ca="1">IFERROR(__xludf.DUMMYFUNCTION("IFERROR(PRODUCT(G18,FILTER(H18:L18,H18:L18&lt;&gt;0))/C18,""N/A"")"),91799.412705)</f>
        <v>91799.412704999995</v>
      </c>
      <c r="O18" s="30" t="str">
        <f t="shared" si="1"/>
        <v>N/A</v>
      </c>
      <c r="P18" s="30">
        <f t="shared" si="2"/>
        <v>95945.357152497774</v>
      </c>
      <c r="Q18" s="30">
        <f t="shared" si="3"/>
        <v>4144743.4836307513</v>
      </c>
    </row>
    <row r="19" spans="1:17" ht="30" customHeight="1" x14ac:dyDescent="0.2">
      <c r="A19" s="27" t="s">
        <v>3709</v>
      </c>
      <c r="B19" s="27"/>
      <c r="C19" s="31">
        <v>1.2989999999999999</v>
      </c>
      <c r="D19" s="31"/>
      <c r="E19" s="31">
        <f>14*3*0.433+4*0.866+0.433</f>
        <v>22.082999999999998</v>
      </c>
      <c r="F19" s="27">
        <f>18.333</f>
        <v>18.332999999999998</v>
      </c>
      <c r="G19" s="30">
        <v>67455</v>
      </c>
      <c r="H19" s="31"/>
      <c r="I19" s="31">
        <v>1.22</v>
      </c>
      <c r="J19" s="31">
        <v>1.25</v>
      </c>
      <c r="K19" s="31">
        <v>1.3</v>
      </c>
      <c r="L19" s="31"/>
      <c r="M19" s="30">
        <f t="shared" si="0"/>
        <v>133729.53749999998</v>
      </c>
      <c r="N19" s="30">
        <f ca="1">IFERROR(__xludf.DUMMYFUNCTION("IFERROR(PRODUCT(G19,FILTER(H19:L19,H19:L19&lt;&gt;0))/C19,""N/A"")"),102948.065819861)</f>
        <v>102948.065819861</v>
      </c>
      <c r="O19" s="30" t="str">
        <f t="shared" si="1"/>
        <v>N/A</v>
      </c>
      <c r="P19" s="30">
        <f t="shared" si="2"/>
        <v>111020.4053338541</v>
      </c>
      <c r="Q19" s="30">
        <f t="shared" si="3"/>
        <v>2451663.6109874998</v>
      </c>
    </row>
    <row r="20" spans="1:17" ht="30" customHeight="1" x14ac:dyDescent="0.2">
      <c r="A20" s="27" t="s">
        <v>3710</v>
      </c>
      <c r="B20" s="27"/>
      <c r="C20" s="31">
        <v>1</v>
      </c>
      <c r="D20" s="31"/>
      <c r="E20" s="31">
        <f>SUM(0.3,1.1,1.1,1.1,1.317,1.317,1.317,1.317,1.317)</f>
        <v>10.185</v>
      </c>
      <c r="F20" s="27">
        <v>9</v>
      </c>
      <c r="G20" s="30">
        <f>157812*1.15</f>
        <v>181483.8</v>
      </c>
      <c r="H20" s="31"/>
      <c r="I20" s="31">
        <v>1.22</v>
      </c>
      <c r="J20" s="31">
        <v>1.25</v>
      </c>
      <c r="K20" s="31">
        <v>1.3</v>
      </c>
      <c r="L20" s="31">
        <v>1.0777000000000001</v>
      </c>
      <c r="M20" s="30">
        <f t="shared" si="0"/>
        <v>387747.44342295005</v>
      </c>
      <c r="N20" s="30">
        <f ca="1">IFERROR(__xludf.DUMMYFUNCTION("IFERROR(PRODUCT(G20,FILTER(H20:L20,H20:L20&lt;&gt;0))/C20,""N/A"")"),387747.44342295)</f>
        <v>387747.44342294999</v>
      </c>
      <c r="O20" s="30" t="str">
        <f t="shared" si="1"/>
        <v>N/A</v>
      </c>
      <c r="P20" s="30">
        <f t="shared" si="2"/>
        <v>342633.97062410897</v>
      </c>
      <c r="Q20" s="30">
        <f t="shared" si="3"/>
        <v>3489726.9908065503</v>
      </c>
    </row>
    <row r="21" spans="1:17" ht="30" customHeight="1" x14ac:dyDescent="0.2">
      <c r="A21" s="27" t="s">
        <v>3711</v>
      </c>
      <c r="B21" s="27"/>
      <c r="C21" s="31">
        <v>1.9330000000000001</v>
      </c>
      <c r="D21" s="31"/>
      <c r="E21" s="31">
        <f>2.216*10+1.933</f>
        <v>24.093000000000004</v>
      </c>
      <c r="F21" s="27">
        <f>22/2</f>
        <v>11</v>
      </c>
      <c r="G21" s="30">
        <v>107637</v>
      </c>
      <c r="H21" s="31"/>
      <c r="I21" s="31">
        <v>1.1356999999999999</v>
      </c>
      <c r="J21" s="31">
        <v>1.25</v>
      </c>
      <c r="K21" s="31">
        <v>1.3</v>
      </c>
      <c r="L21" s="31"/>
      <c r="M21" s="30">
        <f t="shared" si="0"/>
        <v>198645.42896250001</v>
      </c>
      <c r="N21" s="30">
        <f ca="1">IFERROR(__xludf.DUMMYFUNCTION("IFERROR(PRODUCT(G21,FILTER(H21:L21,H21:L21&lt;&gt;0))/C21,""N/A"")"),102765.353834712)</f>
        <v>102765.353834712</v>
      </c>
      <c r="O21" s="30" t="str">
        <f t="shared" si="1"/>
        <v>N/A</v>
      </c>
      <c r="P21" s="30">
        <f t="shared" si="2"/>
        <v>90694.380881895151</v>
      </c>
      <c r="Q21" s="30">
        <f t="shared" si="3"/>
        <v>2185099.7185875</v>
      </c>
    </row>
    <row r="22" spans="1:17" ht="30" customHeight="1" x14ac:dyDescent="0.2">
      <c r="A22" s="27" t="s">
        <v>3712</v>
      </c>
      <c r="B22" s="27"/>
      <c r="C22" s="31">
        <v>0.51700000000000002</v>
      </c>
      <c r="D22" s="31"/>
      <c r="E22" s="31">
        <f>0.216+6*4.117+0.517</f>
        <v>25.434999999999999</v>
      </c>
      <c r="F22" s="27">
        <v>6.43</v>
      </c>
      <c r="G22" s="30">
        <v>128310</v>
      </c>
      <c r="H22" s="31">
        <v>1.4175</v>
      </c>
      <c r="I22" s="31">
        <v>1.22</v>
      </c>
      <c r="J22" s="31">
        <v>1.25</v>
      </c>
      <c r="K22" s="31">
        <v>1.3</v>
      </c>
      <c r="L22" s="31">
        <v>1.0777000000000001</v>
      </c>
      <c r="M22" s="30">
        <f t="shared" si="0"/>
        <v>388592.71215935628</v>
      </c>
      <c r="N22" s="30">
        <f ca="1">IFERROR(__xludf.DUMMYFUNCTION("IFERROR(PRODUCT(G22,FILTER(H22:L22,H22:L22&lt;&gt;0))/C22,""N/A"")"),751630.004176704)</f>
        <v>751630.00417670398</v>
      </c>
      <c r="O22" s="30" t="str">
        <f t="shared" si="1"/>
        <v>N/A</v>
      </c>
      <c r="P22" s="30">
        <f t="shared" si="2"/>
        <v>98236.726525836872</v>
      </c>
      <c r="Q22" s="30">
        <f t="shared" si="3"/>
        <v>2498651.1391846607</v>
      </c>
    </row>
    <row r="23" spans="1:17" ht="30" customHeight="1" x14ac:dyDescent="0.2">
      <c r="A23" s="27" t="s">
        <v>3713</v>
      </c>
      <c r="B23" s="27"/>
      <c r="C23" s="31">
        <v>1.1000000000000001</v>
      </c>
      <c r="D23" s="31"/>
      <c r="E23" s="31">
        <f>8*1.5+4.733</f>
        <v>16.733000000000001</v>
      </c>
      <c r="F23" s="27">
        <v>9</v>
      </c>
      <c r="G23" s="30">
        <v>139370</v>
      </c>
      <c r="H23" s="31"/>
      <c r="I23" s="31">
        <v>1.22</v>
      </c>
      <c r="J23" s="31">
        <v>1.25</v>
      </c>
      <c r="K23" s="31">
        <v>1.3</v>
      </c>
      <c r="L23" s="31"/>
      <c r="M23" s="30">
        <f t="shared" si="0"/>
        <v>276301.02500000002</v>
      </c>
      <c r="N23" s="30">
        <f ca="1">IFERROR(__xludf.DUMMYFUNCTION("IFERROR(PRODUCT(G23,FILTER(H23:L23,H23:L23&lt;&gt;0))/C23,""N/A"")"),251182.75)</f>
        <v>251182.75</v>
      </c>
      <c r="O23" s="30" t="str">
        <f t="shared" si="1"/>
        <v>N/A</v>
      </c>
      <c r="P23" s="30">
        <f t="shared" si="2"/>
        <v>148611.08139604371</v>
      </c>
      <c r="Q23" s="30">
        <f t="shared" si="3"/>
        <v>2486709.2249999996</v>
      </c>
    </row>
    <row r="24" spans="1:17" ht="30" customHeight="1" x14ac:dyDescent="0.2">
      <c r="A24" s="27" t="s">
        <v>3714</v>
      </c>
      <c r="B24" s="27"/>
      <c r="C24" s="31">
        <f>1.866-0.916</f>
        <v>0.95000000000000007</v>
      </c>
      <c r="D24" s="31"/>
      <c r="E24" s="31">
        <v>2.85</v>
      </c>
      <c r="F24" s="27" t="s">
        <v>647</v>
      </c>
      <c r="G24" s="30">
        <v>51180</v>
      </c>
      <c r="H24" s="31"/>
      <c r="I24" s="31">
        <v>1.22</v>
      </c>
      <c r="J24" s="31">
        <v>1.25</v>
      </c>
      <c r="K24" s="31">
        <v>1.3</v>
      </c>
      <c r="L24" s="31"/>
      <c r="M24" s="30">
        <f t="shared" si="0"/>
        <v>101464.35</v>
      </c>
      <c r="N24" s="30">
        <f ca="1">IFERROR(__xludf.DUMMYFUNCTION("IFERROR(PRODUCT(G24,FILTER(H24:L24,H24:L24&lt;&gt;0))/C24,""N/A"")"),106804.578947368)</f>
        <v>106804.57894736801</v>
      </c>
      <c r="O24" s="30" t="str">
        <f t="shared" si="1"/>
        <v>N/A</v>
      </c>
      <c r="P24" s="30">
        <f>M24/E24</f>
        <v>35601.526315789473</v>
      </c>
      <c r="Q24" s="30" t="str">
        <f t="shared" si="3"/>
        <v>INF</v>
      </c>
    </row>
    <row r="25" spans="1:17" ht="30" customHeight="1" x14ac:dyDescent="0.2">
      <c r="A25" s="27" t="s">
        <v>3715</v>
      </c>
      <c r="B25" s="27"/>
      <c r="C25" s="31">
        <f>0.916-0.4</f>
        <v>0.51600000000000001</v>
      </c>
      <c r="D25" s="31"/>
      <c r="E25" s="31">
        <f>0.4+12*0.516+0.85+4*0.516+0.85</f>
        <v>10.356</v>
      </c>
      <c r="F25" s="27">
        <v>19</v>
      </c>
      <c r="G25" s="30">
        <v>28532</v>
      </c>
      <c r="H25" s="31">
        <v>1.1000000000000001</v>
      </c>
      <c r="I25" s="31">
        <v>1.22</v>
      </c>
      <c r="J25" s="31">
        <v>1.25</v>
      </c>
      <c r="K25" s="31">
        <v>1.3</v>
      </c>
      <c r="L25" s="31">
        <v>1.0777000000000001</v>
      </c>
      <c r="M25" s="30">
        <f t="shared" si="0"/>
        <v>67055.743054300023</v>
      </c>
      <c r="N25" s="30">
        <f ca="1">IFERROR(__xludf.DUMMYFUNCTION("IFERROR(PRODUCT(G25,FILTER(H25:L25,H25:L25&lt;&gt;0))/C25,""N/A"")"),129952.99041531)</f>
        <v>129952.99041531001</v>
      </c>
      <c r="O25" s="30" t="str">
        <f t="shared" si="1"/>
        <v>N/A</v>
      </c>
      <c r="P25" s="30">
        <f t="shared" ref="P25:P28" si="4">IFERROR(Q25/E25,"N/A")</f>
        <v>123026.17980221129</v>
      </c>
      <c r="Q25" s="30">
        <f t="shared" si="3"/>
        <v>1274059.1180317001</v>
      </c>
    </row>
    <row r="26" spans="1:17" ht="30" customHeight="1" x14ac:dyDescent="0.2">
      <c r="A26" s="27" t="s">
        <v>3716</v>
      </c>
      <c r="B26" s="27"/>
      <c r="C26" s="31">
        <f>31.3/(447-258)</f>
        <v>0.16560846560846562</v>
      </c>
      <c r="D26" s="31"/>
      <c r="E26" s="31">
        <f>31.3/((447-258)/447)</f>
        <v>74.026984126984132</v>
      </c>
      <c r="F26" s="27">
        <v>564</v>
      </c>
      <c r="G26" s="30">
        <f>(427216-29980)/(447-258)</f>
        <v>2101.7777777777778</v>
      </c>
      <c r="H26" s="31"/>
      <c r="I26" s="31">
        <v>1.22</v>
      </c>
      <c r="J26" s="31">
        <v>1.25</v>
      </c>
      <c r="K26" s="31">
        <v>1.3</v>
      </c>
      <c r="L26" s="31"/>
      <c r="M26" s="30">
        <f t="shared" si="0"/>
        <v>4166.7744444444452</v>
      </c>
      <c r="N26" s="30">
        <f ca="1">IFERROR(__xludf.DUMMYFUNCTION("IFERROR(PRODUCT(G26,FILTER(H26:L26,H26:L26&lt;&gt;0))/C26,""N/A"")"),25160.3952076677)</f>
        <v>25160.395207667701</v>
      </c>
      <c r="O26" s="30" t="str">
        <f t="shared" si="1"/>
        <v>N/A</v>
      </c>
      <c r="P26" s="30">
        <f t="shared" si="4"/>
        <v>31746.002006990162</v>
      </c>
      <c r="Q26" s="30">
        <f t="shared" si="3"/>
        <v>2350060.7866666671</v>
      </c>
    </row>
    <row r="27" spans="1:17" ht="30" customHeight="1" x14ac:dyDescent="0.2">
      <c r="A27" s="27" t="s">
        <v>3717</v>
      </c>
      <c r="B27" s="27"/>
      <c r="C27" s="31">
        <f>23.016/(447-101)</f>
        <v>6.6520231213872821E-2</v>
      </c>
      <c r="D27" s="31"/>
      <c r="E27" s="31">
        <f>23.016/((447-101)/447)</f>
        <v>29.734543352601154</v>
      </c>
      <c r="F27" s="27">
        <v>564</v>
      </c>
      <c r="G27" s="30">
        <f>(434711-29980)/(447-101)</f>
        <v>1169.7427745664741</v>
      </c>
      <c r="H27" s="31"/>
      <c r="I27" s="31">
        <v>1.22</v>
      </c>
      <c r="J27" s="31">
        <v>1.25</v>
      </c>
      <c r="K27" s="31">
        <v>1.3</v>
      </c>
      <c r="L27" s="31"/>
      <c r="M27" s="30">
        <f t="shared" si="0"/>
        <v>2319.0150505780348</v>
      </c>
      <c r="N27" s="30">
        <f ca="1">IFERROR(__xludf.DUMMYFUNCTION("IFERROR(PRODUCT(G27,FILTER(H27:L27,H27:L27&lt;&gt;0))/C27,""N/A"")"),34861.8008124782)</f>
        <v>34861.800812478199</v>
      </c>
      <c r="O27" s="30" t="str">
        <f t="shared" si="1"/>
        <v>N/A</v>
      </c>
      <c r="P27" s="30">
        <f t="shared" si="4"/>
        <v>43986.701696281321</v>
      </c>
      <c r="Q27" s="30">
        <f t="shared" si="3"/>
        <v>1307924.4885260116</v>
      </c>
    </row>
    <row r="28" spans="1:17" ht="30" customHeight="1" x14ac:dyDescent="0.2">
      <c r="A28" s="27" t="s">
        <v>3718</v>
      </c>
      <c r="B28" s="27"/>
      <c r="C28" s="31">
        <v>0.3</v>
      </c>
      <c r="D28" s="31"/>
      <c r="E28" s="31">
        <f>79*0.3+7*1.016</f>
        <v>30.811999999999998</v>
      </c>
      <c r="F28" s="27">
        <v>87</v>
      </c>
      <c r="G28" s="30">
        <v>12196</v>
      </c>
      <c r="H28" s="31"/>
      <c r="I28" s="31">
        <v>1.22</v>
      </c>
      <c r="J28" s="31">
        <v>1.25</v>
      </c>
      <c r="K28" s="31">
        <v>1.3</v>
      </c>
      <c r="L28" s="31"/>
      <c r="M28" s="30">
        <f t="shared" si="0"/>
        <v>24178.57</v>
      </c>
      <c r="N28" s="30">
        <f ca="1">IFERROR(__xludf.DUMMYFUNCTION("IFERROR(PRODUCT(G28,FILTER(H28:L28,H28:L28&lt;&gt;0))/C28,""N/A"")"),80595.2333333333)</f>
        <v>80595.233333333294</v>
      </c>
      <c r="O28" s="30" t="str">
        <f t="shared" si="1"/>
        <v>N/A</v>
      </c>
      <c r="P28" s="30">
        <f t="shared" si="4"/>
        <v>68270.011359210694</v>
      </c>
      <c r="Q28" s="30">
        <f t="shared" si="3"/>
        <v>2103535.59</v>
      </c>
    </row>
    <row r="29" spans="1:17" ht="30" customHeight="1" x14ac:dyDescent="0.2">
      <c r="A29" s="27" t="s">
        <v>3719</v>
      </c>
      <c r="B29" s="27"/>
      <c r="C29" s="31" t="s">
        <v>593</v>
      </c>
      <c r="D29" s="31"/>
      <c r="E29" s="31">
        <v>1.6830000000000001</v>
      </c>
      <c r="F29" s="27" t="s">
        <v>647</v>
      </c>
      <c r="G29" s="30">
        <f>76784*2</f>
        <v>153568</v>
      </c>
      <c r="H29" s="31"/>
      <c r="I29" s="31"/>
      <c r="J29" s="31"/>
      <c r="K29" s="31">
        <v>1.3</v>
      </c>
      <c r="L29" s="31"/>
      <c r="M29" s="30">
        <f t="shared" si="0"/>
        <v>199638.39999999999</v>
      </c>
      <c r="N29" s="30" t="str">
        <f ca="1">IFERROR(__xludf.DUMMYFUNCTION("IFERROR(PRODUCT(G29,FILTER(H29:L29,H29:L29&lt;&gt;0))/C29,""N/A"")"),"N/A")</f>
        <v>N/A</v>
      </c>
      <c r="O29" s="30" t="str">
        <f t="shared" si="1"/>
        <v>N/A</v>
      </c>
      <c r="P29" s="30">
        <f>M29/E29</f>
        <v>118620.55852644087</v>
      </c>
      <c r="Q29" s="30" t="str">
        <f t="shared" si="3"/>
        <v>INF</v>
      </c>
    </row>
    <row r="30" spans="1:17" ht="30" customHeight="1" x14ac:dyDescent="0.2">
      <c r="A30" s="27" t="s">
        <v>3720</v>
      </c>
      <c r="B30" s="27"/>
      <c r="C30" s="31" t="s">
        <v>593</v>
      </c>
      <c r="D30" s="31"/>
      <c r="E30" s="31">
        <f>10.933-1.116</f>
        <v>9.8170000000000002</v>
      </c>
      <c r="F30" s="27">
        <v>1</v>
      </c>
      <c r="G30" s="30">
        <v>492051</v>
      </c>
      <c r="H30" s="31"/>
      <c r="I30" s="31"/>
      <c r="J30" s="31"/>
      <c r="K30" s="31">
        <v>1.3</v>
      </c>
      <c r="L30" s="31"/>
      <c r="M30" s="30">
        <f t="shared" si="0"/>
        <v>639666.30000000005</v>
      </c>
      <c r="N30" s="30" t="str">
        <f ca="1">IFERROR(__xludf.DUMMYFUNCTION("IFERROR(PRODUCT(G30,FILTER(H30:L30,H30:L30&lt;&gt;0))/C30,""N/A"")"),"N/A")</f>
        <v>N/A</v>
      </c>
      <c r="O30" s="30" t="str">
        <f t="shared" si="1"/>
        <v>N/A</v>
      </c>
      <c r="P30" s="30">
        <f t="shared" ref="P30:P38" si="5">IFERROR(Q30/E30,"N/A")</f>
        <v>65159.040440052973</v>
      </c>
      <c r="Q30" s="30">
        <f t="shared" si="3"/>
        <v>639666.30000000005</v>
      </c>
    </row>
    <row r="31" spans="1:17" ht="30" customHeight="1" x14ac:dyDescent="0.2">
      <c r="A31" s="27" t="s">
        <v>3721</v>
      </c>
      <c r="B31" s="27"/>
      <c r="C31" s="31">
        <f>1.783-0.5</f>
        <v>1.2829999999999999</v>
      </c>
      <c r="D31" s="31"/>
      <c r="E31" s="31">
        <f>C31*9</f>
        <v>11.546999999999999</v>
      </c>
      <c r="F31" s="27">
        <v>10</v>
      </c>
      <c r="G31" s="30">
        <v>71544</v>
      </c>
      <c r="H31" s="31"/>
      <c r="I31" s="31">
        <v>1.22</v>
      </c>
      <c r="J31" s="31">
        <v>1.25</v>
      </c>
      <c r="K31" s="31">
        <v>1.3</v>
      </c>
      <c r="L31" s="31"/>
      <c r="M31" s="30">
        <f t="shared" si="0"/>
        <v>141835.97999999998</v>
      </c>
      <c r="N31" s="30">
        <f ca="1">IFERROR(__xludf.DUMMYFUNCTION("IFERROR(PRODUCT(G31,FILTER(H31:L31,H31:L31&lt;&gt;0))/C31,""N/A"")"),110550.257209664)</f>
        <v>110550.25720966401</v>
      </c>
      <c r="O31" s="30" t="str">
        <f t="shared" si="1"/>
        <v>N/A</v>
      </c>
      <c r="P31" s="30">
        <f t="shared" si="5"/>
        <v>122833.61912184984</v>
      </c>
      <c r="Q31" s="30">
        <f t="shared" si="3"/>
        <v>1418359.8</v>
      </c>
    </row>
    <row r="32" spans="1:17" ht="30" customHeight="1" x14ac:dyDescent="0.2">
      <c r="A32" s="27" t="s">
        <v>3722</v>
      </c>
      <c r="B32" s="27"/>
      <c r="C32" s="31" t="s">
        <v>593</v>
      </c>
      <c r="D32" s="31"/>
      <c r="E32" s="31">
        <v>1.9159999999999999</v>
      </c>
      <c r="F32" s="27">
        <v>1</v>
      </c>
      <c r="G32" s="30">
        <v>502166</v>
      </c>
      <c r="H32" s="31"/>
      <c r="I32" s="31"/>
      <c r="J32" s="31"/>
      <c r="K32" s="31">
        <v>1.3</v>
      </c>
      <c r="L32" s="31"/>
      <c r="M32" s="30">
        <f t="shared" si="0"/>
        <v>652815.80000000005</v>
      </c>
      <c r="N32" s="30" t="str">
        <f ca="1">IFERROR(__xludf.DUMMYFUNCTION("IFERROR(PRODUCT(G32,FILTER(H32:L32,H32:L32&lt;&gt;0))/C32,""N/A"")"),"N/A")</f>
        <v>N/A</v>
      </c>
      <c r="O32" s="30" t="str">
        <f t="shared" si="1"/>
        <v>N/A</v>
      </c>
      <c r="P32" s="30">
        <f t="shared" si="5"/>
        <v>340718.05845511483</v>
      </c>
      <c r="Q32" s="30">
        <f t="shared" si="3"/>
        <v>652815.80000000005</v>
      </c>
    </row>
    <row r="33" spans="1:17" ht="30" customHeight="1" x14ac:dyDescent="0.2">
      <c r="A33" s="27" t="s">
        <v>3723</v>
      </c>
      <c r="B33" s="27"/>
      <c r="C33" s="31">
        <f>2.366-1.166</f>
        <v>1.2000000000000002</v>
      </c>
      <c r="D33" s="31"/>
      <c r="E33" s="31">
        <v>3.1</v>
      </c>
      <c r="F33" s="27">
        <v>1</v>
      </c>
      <c r="G33" s="30">
        <v>562871</v>
      </c>
      <c r="H33" s="31"/>
      <c r="I33" s="31"/>
      <c r="J33" s="31"/>
      <c r="K33" s="31">
        <v>1.3</v>
      </c>
      <c r="L33" s="31"/>
      <c r="M33" s="30">
        <f t="shared" si="0"/>
        <v>731732.3</v>
      </c>
      <c r="N33" s="30">
        <f ca="1">IFERROR(__xludf.DUMMYFUNCTION("IFERROR(PRODUCT(G33,FILTER(H33:L33,H33:L33&lt;&gt;0))/C33,""N/A"")"),609776.916666666)</f>
        <v>609776.91666666605</v>
      </c>
      <c r="O33" s="30" t="str">
        <f t="shared" si="1"/>
        <v>N/A</v>
      </c>
      <c r="P33" s="30">
        <f t="shared" si="5"/>
        <v>236042.67741935485</v>
      </c>
      <c r="Q33" s="30">
        <f t="shared" si="3"/>
        <v>731732.3</v>
      </c>
    </row>
    <row r="34" spans="1:17" ht="30" customHeight="1" x14ac:dyDescent="0.2">
      <c r="A34" s="27" t="s">
        <v>3724</v>
      </c>
      <c r="B34" s="27"/>
      <c r="C34" s="31">
        <f>1.6-0.3</f>
        <v>1.3</v>
      </c>
      <c r="D34" s="31"/>
      <c r="E34" s="31">
        <v>1.3660000000000001</v>
      </c>
      <c r="F34" s="27">
        <v>1</v>
      </c>
      <c r="G34" s="30">
        <v>299801</v>
      </c>
      <c r="H34" s="31"/>
      <c r="I34" s="31">
        <v>1.22</v>
      </c>
      <c r="J34" s="31">
        <v>1.25</v>
      </c>
      <c r="K34" s="31">
        <v>1.3</v>
      </c>
      <c r="L34" s="31"/>
      <c r="M34" s="30">
        <f t="shared" si="0"/>
        <v>594355.48249999993</v>
      </c>
      <c r="N34" s="30">
        <f ca="1">IFERROR(__xludf.DUMMYFUNCTION("IFERROR(PRODUCT(G34,FILTER(H34:L34,H34:L34&lt;&gt;0))/C34,""N/A"")"),457196.524999999)</f>
        <v>457196.52499999898</v>
      </c>
      <c r="O34" s="30" t="str">
        <f t="shared" si="1"/>
        <v>N/A</v>
      </c>
      <c r="P34" s="30">
        <f t="shared" si="5"/>
        <v>435106.50256222539</v>
      </c>
      <c r="Q34" s="30">
        <f t="shared" si="3"/>
        <v>594355.48249999993</v>
      </c>
    </row>
    <row r="35" spans="1:17" ht="30" customHeight="1" x14ac:dyDescent="0.2">
      <c r="A35" s="27" t="s">
        <v>3725</v>
      </c>
      <c r="B35" s="27"/>
      <c r="C35" s="31">
        <f>40.016/(600-1)</f>
        <v>6.6804674457429047E-2</v>
      </c>
      <c r="D35" s="31"/>
      <c r="E35" s="31">
        <f>C35*599</f>
        <v>40.015999999999998</v>
      </c>
      <c r="F35" s="27">
        <v>600</v>
      </c>
      <c r="G35" s="30">
        <f>499400*3/600</f>
        <v>2497</v>
      </c>
      <c r="H35" s="31"/>
      <c r="I35" s="31">
        <v>1.22</v>
      </c>
      <c r="J35" s="31">
        <v>1.25</v>
      </c>
      <c r="K35" s="31">
        <v>1.3</v>
      </c>
      <c r="L35" s="31"/>
      <c r="M35" s="30">
        <f t="shared" si="0"/>
        <v>4950.3025000000007</v>
      </c>
      <c r="N35" s="30">
        <f ca="1">IFERROR(__xludf.DUMMYFUNCTION("IFERROR(PRODUCT(G35,FILTER(H35:L35,H35:L35&lt;&gt;0))/C35,""N/A"")"),74101.1394817073)</f>
        <v>74101.139481707301</v>
      </c>
      <c r="O35" s="30" t="str">
        <f t="shared" si="1"/>
        <v>N/A</v>
      </c>
      <c r="P35" s="30">
        <f t="shared" si="5"/>
        <v>74224.847560975613</v>
      </c>
      <c r="Q35" s="30">
        <f t="shared" si="3"/>
        <v>2970181.5</v>
      </c>
    </row>
    <row r="36" spans="1:17" ht="30" customHeight="1" x14ac:dyDescent="0.2">
      <c r="A36" s="27" t="s">
        <v>3726</v>
      </c>
      <c r="B36" s="27"/>
      <c r="C36" s="31">
        <v>1.383</v>
      </c>
      <c r="D36" s="31"/>
      <c r="E36" s="31">
        <f>0.933+17*1.383+(0.933+1.18333)</f>
        <v>26.56033</v>
      </c>
      <c r="F36" s="27">
        <v>19</v>
      </c>
      <c r="G36" s="30">
        <f>(7089*5+18*8507*5)/19</f>
        <v>42161.84210526316</v>
      </c>
      <c r="H36" s="31"/>
      <c r="I36" s="31">
        <v>1.22</v>
      </c>
      <c r="J36" s="31">
        <v>1.25</v>
      </c>
      <c r="K36" s="31">
        <v>1.3</v>
      </c>
      <c r="L36" s="31">
        <v>1.0780000000000001</v>
      </c>
      <c r="M36" s="30">
        <f t="shared" si="0"/>
        <v>90105.548427631584</v>
      </c>
      <c r="N36" s="30">
        <f ca="1">IFERROR(__xludf.DUMMYFUNCTION("IFERROR(PRODUCT(G36,FILTER(H36:L36,H36:L36&lt;&gt;0))/C36,""N/A"")"),65152.240367051)</f>
        <v>65152.240367051003</v>
      </c>
      <c r="O36" s="30" t="str">
        <f t="shared" si="1"/>
        <v>N/A</v>
      </c>
      <c r="P36" s="30">
        <f t="shared" si="5"/>
        <v>64457.234534548334</v>
      </c>
      <c r="Q36" s="30">
        <f t="shared" si="3"/>
        <v>1712005.4201250002</v>
      </c>
    </row>
    <row r="37" spans="1:17" ht="30" customHeight="1" x14ac:dyDescent="0.2">
      <c r="A37" s="27" t="s">
        <v>3727</v>
      </c>
      <c r="B37" s="27"/>
      <c r="C37" s="31" t="s">
        <v>2144</v>
      </c>
      <c r="D37" s="31"/>
      <c r="E37" s="31" t="s">
        <v>2144</v>
      </c>
      <c r="F37" s="27">
        <v>19</v>
      </c>
      <c r="G37" s="30">
        <f>7089*5</f>
        <v>35445</v>
      </c>
      <c r="H37" s="31">
        <v>1.47</v>
      </c>
      <c r="I37" s="31">
        <v>1.22</v>
      </c>
      <c r="J37" s="31">
        <v>1.25</v>
      </c>
      <c r="K37" s="31">
        <v>1.3</v>
      </c>
      <c r="L37" s="31">
        <v>1.0780000000000001</v>
      </c>
      <c r="M37" s="30">
        <f t="shared" si="0"/>
        <v>111353.60261025</v>
      </c>
      <c r="N37" s="30" t="str">
        <f ca="1">IFERROR(__xludf.DUMMYFUNCTION("IFERROR(PRODUCT(G37,FILTER(H37:L37,H37:L37&lt;&gt;0))/C37,""N/A"")"),"N/A")</f>
        <v>N/A</v>
      </c>
      <c r="O37" s="30" t="str">
        <f t="shared" si="1"/>
        <v>N/A</v>
      </c>
      <c r="P37" s="30" t="str">
        <f t="shared" si="5"/>
        <v>N/A</v>
      </c>
      <c r="Q37" s="30">
        <f t="shared" si="3"/>
        <v>2115718.4495947501</v>
      </c>
    </row>
    <row r="38" spans="1:17" ht="30" customHeight="1" x14ac:dyDescent="0.2">
      <c r="A38" s="27" t="s">
        <v>3728</v>
      </c>
      <c r="B38" s="27"/>
      <c r="C38" s="31">
        <f>3.55-2.233</f>
        <v>1.3169999999999997</v>
      </c>
      <c r="D38" s="31"/>
      <c r="E38" s="31">
        <f>3.2*6</f>
        <v>19.200000000000003</v>
      </c>
      <c r="F38" s="27">
        <v>6.6</v>
      </c>
      <c r="G38" s="27">
        <v>116173</v>
      </c>
      <c r="H38" s="31"/>
      <c r="I38" s="31">
        <v>1.22</v>
      </c>
      <c r="J38" s="31">
        <v>1.25</v>
      </c>
      <c r="K38" s="31">
        <v>1.3</v>
      </c>
      <c r="L38" s="31"/>
      <c r="M38" s="30">
        <f t="shared" si="0"/>
        <v>230312.97250000003</v>
      </c>
      <c r="N38" s="30">
        <f ca="1">IFERROR(__xludf.DUMMYFUNCTION("IFERROR(PRODUCT(G38,FILTER(H38:L38,H38:L38&lt;&gt;0))/C38,""N/A"")"),174876.972285497)</f>
        <v>174876.972285497</v>
      </c>
      <c r="O38" s="30" t="str">
        <f t="shared" si="1"/>
        <v>N/A</v>
      </c>
      <c r="P38" s="30">
        <f t="shared" si="5"/>
        <v>79170.084296874978</v>
      </c>
      <c r="Q38" s="30">
        <f t="shared" si="3"/>
        <v>1520065.6184999999</v>
      </c>
    </row>
    <row r="39" spans="1:17" ht="30" customHeight="1" x14ac:dyDescent="0.2">
      <c r="A39" s="27" t="s">
        <v>901</v>
      </c>
      <c r="B39" s="27"/>
      <c r="C39" s="31" t="s">
        <v>593</v>
      </c>
      <c r="D39" s="31"/>
      <c r="E39" s="31">
        <v>1</v>
      </c>
      <c r="F39" s="27" t="s">
        <v>647</v>
      </c>
      <c r="G39" s="30">
        <v>3908</v>
      </c>
      <c r="H39" s="31"/>
      <c r="I39" s="31"/>
      <c r="J39" s="31"/>
      <c r="K39" s="31">
        <v>1.3</v>
      </c>
      <c r="L39" s="31"/>
      <c r="M39" s="30">
        <f t="shared" si="0"/>
        <v>5080.4000000000005</v>
      </c>
      <c r="N39" s="30" t="str">
        <f ca="1">IFERROR(__xludf.DUMMYFUNCTION("IFERROR(PRODUCT(G39,FILTER(H39:L39,H39:L39&lt;&gt;0))/C39,""N/A"")"),"N/A")</f>
        <v>N/A</v>
      </c>
      <c r="O39" s="30" t="str">
        <f t="shared" si="1"/>
        <v>N/A</v>
      </c>
      <c r="P39" s="30">
        <f>M39/E39</f>
        <v>5080.4000000000005</v>
      </c>
      <c r="Q39" s="30" t="str">
        <f t="shared" si="3"/>
        <v>INF</v>
      </c>
    </row>
    <row r="40" spans="1:17" ht="30" customHeight="1" x14ac:dyDescent="0.2">
      <c r="A40" s="27" t="s">
        <v>3729</v>
      </c>
      <c r="B40" s="27"/>
      <c r="C40" s="31">
        <f>11.733-7.916</f>
        <v>3.8170000000000002</v>
      </c>
      <c r="D40" s="31"/>
      <c r="E40" s="31">
        <f>3.817*6+1.25</f>
        <v>24.152000000000001</v>
      </c>
      <c r="F40" s="27">
        <v>6.3330000000000002</v>
      </c>
      <c r="G40" s="30">
        <f>265529+20000</f>
        <v>285529</v>
      </c>
      <c r="H40" s="31"/>
      <c r="I40" s="31">
        <v>1.22</v>
      </c>
      <c r="J40" s="31">
        <v>1.25</v>
      </c>
      <c r="K40" s="31">
        <v>1.3</v>
      </c>
      <c r="L40" s="31"/>
      <c r="M40" s="30">
        <f t="shared" si="0"/>
        <v>566061.24249999993</v>
      </c>
      <c r="N40" s="30">
        <f ca="1">IFERROR(__xludf.DUMMYFUNCTION("IFERROR(PRODUCT(G40,FILTER(H40:L40,H40:L40&lt;&gt;0))/C40,""N/A"")"),148300.037332984)</f>
        <v>148300.03733298401</v>
      </c>
      <c r="O40" s="30" t="str">
        <f t="shared" si="1"/>
        <v>N/A</v>
      </c>
      <c r="P40" s="30">
        <f t="shared" ref="P40:P51" si="6">IFERROR(Q40/E40,"N/A")</f>
        <v>148429.35776550596</v>
      </c>
      <c r="Q40" s="30">
        <f t="shared" si="3"/>
        <v>3584865.8487525005</v>
      </c>
    </row>
    <row r="41" spans="1:17" ht="30" customHeight="1" x14ac:dyDescent="0.2">
      <c r="A41" s="27" t="s">
        <v>3730</v>
      </c>
      <c r="B41" s="27"/>
      <c r="C41" s="31">
        <v>1.3</v>
      </c>
      <c r="D41" s="31"/>
      <c r="E41" s="31">
        <f>1.583+1.3*14</f>
        <v>19.782999999999998</v>
      </c>
      <c r="F41" s="27">
        <v>15</v>
      </c>
      <c r="G41" s="30">
        <v>84944</v>
      </c>
      <c r="H41" s="31"/>
      <c r="I41" s="31">
        <v>1.22</v>
      </c>
      <c r="J41" s="31">
        <v>1.25</v>
      </c>
      <c r="K41" s="31">
        <v>1.3</v>
      </c>
      <c r="L41" s="31"/>
      <c r="M41" s="30">
        <f t="shared" si="0"/>
        <v>168401.47999999998</v>
      </c>
      <c r="N41" s="30">
        <f ca="1">IFERROR(__xludf.DUMMYFUNCTION("IFERROR(PRODUCT(G41,FILTER(H41:L41,H41:L41&lt;&gt;0))/C41,""N/A"")"),129539.599999999)</f>
        <v>129539.599999999</v>
      </c>
      <c r="O41" s="30" t="str">
        <f t="shared" si="1"/>
        <v>N/A</v>
      </c>
      <c r="P41" s="30">
        <f t="shared" si="6"/>
        <v>127686.50861851087</v>
      </c>
      <c r="Q41" s="30">
        <f t="shared" si="3"/>
        <v>2526022.2000000002</v>
      </c>
    </row>
    <row r="42" spans="1:17" ht="30" customHeight="1" x14ac:dyDescent="0.2">
      <c r="A42" s="27" t="s">
        <v>3731</v>
      </c>
      <c r="B42" s="27"/>
      <c r="C42" s="31">
        <v>0.55000000000000004</v>
      </c>
      <c r="D42" s="31"/>
      <c r="E42" s="31">
        <f>35*0.55+2*0.883</f>
        <v>21.015999999999998</v>
      </c>
      <c r="F42" s="27">
        <v>38</v>
      </c>
      <c r="G42" s="30">
        <f>(24777*1.15*1.15*1.1+24777*1.4*1.17)/2/1.275/1.135</f>
        <v>26476.312257061414</v>
      </c>
      <c r="H42" s="31">
        <f>AVERAGE(1.15,1.4)</f>
        <v>1.2749999999999999</v>
      </c>
      <c r="I42" s="31">
        <f>AVERAGE(1.1,1.17)</f>
        <v>1.135</v>
      </c>
      <c r="J42" s="31">
        <v>1.25</v>
      </c>
      <c r="K42" s="31">
        <v>1.3</v>
      </c>
      <c r="L42" s="31">
        <v>1.0780000000000001</v>
      </c>
      <c r="M42" s="30">
        <f t="shared" si="0"/>
        <v>67117.483839656255</v>
      </c>
      <c r="N42" s="30">
        <f ca="1">IFERROR(__xludf.DUMMYFUNCTION("IFERROR(PRODUCT(G42,FILTER(H42:L42,H42:L42&lt;&gt;0))/C42,""N/A"")"),122031.788799375)</f>
        <v>122031.788799375</v>
      </c>
      <c r="O42" s="30" t="str">
        <f t="shared" si="1"/>
        <v>N/A</v>
      </c>
      <c r="P42" s="30">
        <f t="shared" si="6"/>
        <v>121358.22163622658</v>
      </c>
      <c r="Q42" s="30">
        <f t="shared" si="3"/>
        <v>2550464.3859069375</v>
      </c>
    </row>
    <row r="43" spans="1:17" ht="30" customHeight="1" x14ac:dyDescent="0.2">
      <c r="A43" s="27" t="s">
        <v>3732</v>
      </c>
      <c r="B43" s="27"/>
      <c r="C43" s="31">
        <v>2.1160000000000001</v>
      </c>
      <c r="D43" s="31"/>
      <c r="E43" s="31">
        <f>3*3.15</f>
        <v>9.4499999999999993</v>
      </c>
      <c r="F43" s="27">
        <v>4</v>
      </c>
      <c r="G43" s="30">
        <v>132595</v>
      </c>
      <c r="H43" s="31"/>
      <c r="I43" s="31">
        <v>1.22</v>
      </c>
      <c r="J43" s="31">
        <v>1.25</v>
      </c>
      <c r="K43" s="31">
        <v>1.3</v>
      </c>
      <c r="L43" s="31"/>
      <c r="M43" s="30">
        <f t="shared" si="0"/>
        <v>262869.58750000002</v>
      </c>
      <c r="N43" s="30">
        <f ca="1">IFERROR(__xludf.DUMMYFUNCTION("IFERROR(PRODUCT(G43,FILTER(H43:L43,H43:L43&lt;&gt;0))/C43,""N/A"")"),124229.483695652)</f>
        <v>124229.483695652</v>
      </c>
      <c r="O43" s="30" t="str">
        <f t="shared" si="1"/>
        <v>N/A</v>
      </c>
      <c r="P43" s="30">
        <f t="shared" si="6"/>
        <v>111267.55026455029</v>
      </c>
      <c r="Q43" s="30">
        <f t="shared" si="3"/>
        <v>1051478.3500000001</v>
      </c>
    </row>
    <row r="44" spans="1:17" ht="30" customHeight="1" x14ac:dyDescent="0.2">
      <c r="A44" s="27" t="s">
        <v>3733</v>
      </c>
      <c r="B44" s="27"/>
      <c r="C44" s="31">
        <v>5.5659999999999998</v>
      </c>
      <c r="D44" s="31"/>
      <c r="E44" s="31" t="s">
        <v>593</v>
      </c>
      <c r="F44" s="27" t="s">
        <v>647</v>
      </c>
      <c r="G44" s="30">
        <v>423469</v>
      </c>
      <c r="H44" s="31"/>
      <c r="I44" s="31">
        <v>1.22</v>
      </c>
      <c r="J44" s="31">
        <v>1.25</v>
      </c>
      <c r="K44" s="31">
        <v>1.3</v>
      </c>
      <c r="L44" s="31"/>
      <c r="M44" s="30">
        <f t="shared" si="0"/>
        <v>839527.29249999998</v>
      </c>
      <c r="N44" s="30">
        <f ca="1">IFERROR(__xludf.DUMMYFUNCTION("IFERROR(PRODUCT(G44,FILTER(H44:L44,H44:L44&lt;&gt;0))/C44,""N/A"")"),150831.34971254)</f>
        <v>150831.34971253999</v>
      </c>
      <c r="O44" s="30" t="str">
        <f t="shared" si="1"/>
        <v>N/A</v>
      </c>
      <c r="P44" s="30" t="str">
        <f t="shared" si="6"/>
        <v>N/A</v>
      </c>
      <c r="Q44" s="30" t="str">
        <f t="shared" si="3"/>
        <v>INF</v>
      </c>
    </row>
    <row r="45" spans="1:17" ht="30" customHeight="1" x14ac:dyDescent="0.2">
      <c r="A45" s="27" t="s">
        <v>3734</v>
      </c>
      <c r="B45" s="27"/>
      <c r="C45" s="31">
        <v>0.45</v>
      </c>
      <c r="D45" s="31"/>
      <c r="E45" s="31">
        <f>2.816+19-6.45</f>
        <v>15.366</v>
      </c>
      <c r="F45" s="27">
        <v>22</v>
      </c>
      <c r="G45" s="30">
        <f>6435*5</f>
        <v>32175</v>
      </c>
      <c r="H45" s="31">
        <v>1.5</v>
      </c>
      <c r="I45" s="31">
        <v>1.22</v>
      </c>
      <c r="J45" s="31">
        <v>1.25</v>
      </c>
      <c r="K45" s="31">
        <v>1.3</v>
      </c>
      <c r="L45" s="31"/>
      <c r="M45" s="30">
        <f t="shared" si="0"/>
        <v>95680.40625</v>
      </c>
      <c r="N45" s="30">
        <f ca="1">IFERROR(__xludf.DUMMYFUNCTION("IFERROR(PRODUCT(G45,FILTER(H45:L45,H45:L45&lt;&gt;0))/C45,""N/A"")"),212623.125)</f>
        <v>212623.125</v>
      </c>
      <c r="O45" s="30" t="str">
        <f t="shared" si="1"/>
        <v>N/A</v>
      </c>
      <c r="P45" s="30">
        <f t="shared" si="6"/>
        <v>136988.73730964467</v>
      </c>
      <c r="Q45" s="30">
        <f t="shared" si="3"/>
        <v>2104968.9375</v>
      </c>
    </row>
    <row r="46" spans="1:17" ht="30" customHeight="1" x14ac:dyDescent="0.2">
      <c r="A46" s="27" t="s">
        <v>3735</v>
      </c>
      <c r="B46" s="27"/>
      <c r="C46" s="31"/>
      <c r="D46" s="31"/>
      <c r="E46" s="31"/>
      <c r="F46" s="27"/>
      <c r="G46" s="30"/>
      <c r="H46" s="31"/>
      <c r="I46" s="31"/>
      <c r="J46" s="31"/>
      <c r="K46" s="31"/>
      <c r="L46" s="31"/>
      <c r="M46" s="30">
        <f t="shared" si="0"/>
        <v>0</v>
      </c>
      <c r="N46" s="30" t="str">
        <f ca="1">IFERROR(__xludf.DUMMYFUNCTION("IFERROR(PRODUCT(G46,FILTER(H46:L46,H46:L46&lt;&gt;0))/C46,""N/A"")"),"N/A")</f>
        <v>N/A</v>
      </c>
      <c r="O46" s="30" t="str">
        <f t="shared" si="1"/>
        <v>N/A</v>
      </c>
      <c r="P46" s="30" t="str">
        <f t="shared" si="6"/>
        <v>N/A</v>
      </c>
      <c r="Q46" s="30">
        <f t="shared" si="3"/>
        <v>0</v>
      </c>
    </row>
    <row r="47" spans="1:17" ht="30" customHeight="1" x14ac:dyDescent="0.2">
      <c r="A47" s="27" t="s">
        <v>560</v>
      </c>
      <c r="B47" s="27"/>
      <c r="C47" s="31">
        <f>2.55-1.283</f>
        <v>1.2669999999999999</v>
      </c>
      <c r="D47" s="31"/>
      <c r="E47" s="31">
        <v>1.716</v>
      </c>
      <c r="F47" s="27">
        <v>1</v>
      </c>
      <c r="G47" s="30">
        <v>361232</v>
      </c>
      <c r="H47" s="31"/>
      <c r="I47" s="31"/>
      <c r="J47" s="31"/>
      <c r="K47" s="31">
        <v>1.3</v>
      </c>
      <c r="L47" s="31"/>
      <c r="M47" s="30">
        <f t="shared" si="0"/>
        <v>469601.60000000003</v>
      </c>
      <c r="N47" s="30">
        <f ca="1">IFERROR(__xludf.DUMMYFUNCTION("IFERROR(PRODUCT(G47,FILTER(H47:L47,H47:L47&lt;&gt;0))/C47,""N/A"")"),370640.568271507)</f>
        <v>370640.56827150699</v>
      </c>
      <c r="O47" s="30" t="str">
        <f t="shared" si="1"/>
        <v>N/A</v>
      </c>
      <c r="P47" s="30">
        <f t="shared" si="6"/>
        <v>273660.60606060608</v>
      </c>
      <c r="Q47" s="30">
        <f t="shared" si="3"/>
        <v>469601.60000000003</v>
      </c>
    </row>
    <row r="48" spans="1:17" ht="30" customHeight="1" x14ac:dyDescent="0.2">
      <c r="A48" s="27" t="s">
        <v>561</v>
      </c>
      <c r="B48" s="27"/>
      <c r="C48" s="31">
        <v>2.0339999999999998</v>
      </c>
      <c r="D48" s="31"/>
      <c r="E48" s="31">
        <v>1.4</v>
      </c>
      <c r="F48" s="27">
        <v>1</v>
      </c>
      <c r="G48" s="27">
        <v>300466</v>
      </c>
      <c r="H48" s="31"/>
      <c r="I48" s="31"/>
      <c r="J48" s="31"/>
      <c r="K48" s="31">
        <v>1.3</v>
      </c>
      <c r="L48" s="31"/>
      <c r="M48" s="30">
        <f t="shared" si="0"/>
        <v>390605.8</v>
      </c>
      <c r="N48" s="30">
        <f ca="1">IFERROR(__xludf.DUMMYFUNCTION("IFERROR(PRODUCT(G48,FILTER(H48:L48,H48:L48&lt;&gt;0))/C48,""N/A"")"),192038.249754178)</f>
        <v>192038.24975417799</v>
      </c>
      <c r="O48" s="30" t="str">
        <f t="shared" si="1"/>
        <v>N/A</v>
      </c>
      <c r="P48" s="30">
        <f t="shared" si="6"/>
        <v>279004.14285714284</v>
      </c>
      <c r="Q48" s="30">
        <f t="shared" si="3"/>
        <v>390605.8</v>
      </c>
    </row>
    <row r="49" spans="1:17" ht="30" customHeight="1" x14ac:dyDescent="0.2">
      <c r="A49" s="27" t="s">
        <v>3736</v>
      </c>
      <c r="B49" s="27"/>
      <c r="C49" s="31">
        <f>3.15-0.983</f>
        <v>2.1669999999999998</v>
      </c>
      <c r="D49" s="31"/>
      <c r="E49" s="31">
        <f>0.983+7*1.717+2.167</f>
        <v>15.169</v>
      </c>
      <c r="F49" s="27">
        <v>8</v>
      </c>
      <c r="G49" s="30">
        <v>112615</v>
      </c>
      <c r="H49" s="31"/>
      <c r="I49" s="31">
        <v>1.22</v>
      </c>
      <c r="J49" s="31">
        <v>1.25</v>
      </c>
      <c r="K49" s="31">
        <v>1.3</v>
      </c>
      <c r="L49" s="31"/>
      <c r="M49" s="30">
        <f t="shared" si="0"/>
        <v>223259.23750000002</v>
      </c>
      <c r="N49" s="30">
        <f ca="1">IFERROR(__xludf.DUMMYFUNCTION("IFERROR(PRODUCT(G49,FILTER(H49:L49,H49:L49&lt;&gt;0))/C49,""N/A"")"),103026.874711582)</f>
        <v>103026.874711582</v>
      </c>
      <c r="O49" s="30" t="str">
        <f t="shared" si="1"/>
        <v>N/A</v>
      </c>
      <c r="P49" s="30">
        <f t="shared" si="6"/>
        <v>117744.99967038039</v>
      </c>
      <c r="Q49" s="30">
        <f t="shared" si="3"/>
        <v>1786073.9000000001</v>
      </c>
    </row>
    <row r="50" spans="1:17" ht="30" customHeight="1" x14ac:dyDescent="0.2">
      <c r="A50" s="27" t="s">
        <v>3737</v>
      </c>
      <c r="B50" s="27"/>
      <c r="C50" s="31">
        <v>0.33300000000000002</v>
      </c>
      <c r="D50" s="31"/>
      <c r="E50" s="31" t="s">
        <v>593</v>
      </c>
      <c r="F50" s="27">
        <v>9</v>
      </c>
      <c r="G50" s="30">
        <v>217355</v>
      </c>
      <c r="H50" s="31"/>
      <c r="I50" s="31">
        <v>1.22</v>
      </c>
      <c r="J50" s="31">
        <v>1.25</v>
      </c>
      <c r="K50" s="31">
        <v>1.3</v>
      </c>
      <c r="L50" s="31"/>
      <c r="M50" s="30">
        <f t="shared" si="0"/>
        <v>430906.28750000003</v>
      </c>
      <c r="N50" s="30">
        <f ca="1">IFERROR(__xludf.DUMMYFUNCTION("IFERROR(PRODUCT(G50,FILTER(H50:L50,H50:L50&lt;&gt;0))/C50,""N/A"")"),1294012.87537537)</f>
        <v>1294012.87537537</v>
      </c>
      <c r="O50" s="30" t="str">
        <f t="shared" si="1"/>
        <v>N/A</v>
      </c>
      <c r="P50" s="30" t="str">
        <f t="shared" si="6"/>
        <v>N/A</v>
      </c>
      <c r="Q50" s="30">
        <f t="shared" si="3"/>
        <v>3878156.5874999999</v>
      </c>
    </row>
    <row r="51" spans="1:17" ht="30" customHeight="1" x14ac:dyDescent="0.2">
      <c r="A51" s="27" t="s">
        <v>3738</v>
      </c>
      <c r="B51" s="27"/>
      <c r="C51" s="31">
        <v>0.55000000000000004</v>
      </c>
      <c r="D51" s="31"/>
      <c r="E51" s="31">
        <f>39*0.55+2*0.883</f>
        <v>23.216000000000001</v>
      </c>
      <c r="F51" s="27">
        <v>42</v>
      </c>
      <c r="G51" s="30">
        <f>(25917*1.15*1.4*1.17+24777*1.4*1.11)/2/1.4/1.135</f>
        <v>27477.44207048458</v>
      </c>
      <c r="H51" s="31">
        <v>1.4</v>
      </c>
      <c r="I51" s="31">
        <f>AVERAGE(1.17,1.1)</f>
        <v>1.135</v>
      </c>
      <c r="J51" s="31">
        <v>1.25</v>
      </c>
      <c r="K51" s="31">
        <v>1.3</v>
      </c>
      <c r="L51" s="31">
        <v>1.0780000000000001</v>
      </c>
      <c r="M51" s="30">
        <f t="shared" si="0"/>
        <v>76484.304934537489</v>
      </c>
      <c r="N51" s="30">
        <f ca="1">IFERROR(__xludf.DUMMYFUNCTION("IFERROR(PRODUCT(G51,FILTER(H51:L51,H51:L51&lt;&gt;0))/C51,""N/A"")"),139062.372608249)</f>
        <v>139062.37260824899</v>
      </c>
      <c r="O51" s="30" t="str">
        <f t="shared" si="1"/>
        <v>N/A</v>
      </c>
      <c r="P51" s="30">
        <f t="shared" si="6"/>
        <v>138367.53994015226</v>
      </c>
      <c r="Q51" s="30">
        <f t="shared" si="3"/>
        <v>3212340.8072505747</v>
      </c>
    </row>
    <row r="52" spans="1:17" ht="30" customHeight="1" x14ac:dyDescent="0.2">
      <c r="A52" s="27" t="s">
        <v>3739</v>
      </c>
      <c r="B52" s="27"/>
      <c r="C52" s="31" t="s">
        <v>593</v>
      </c>
      <c r="D52" s="31"/>
      <c r="E52" s="31">
        <v>1.6830000000000001</v>
      </c>
      <c r="F52" s="27" t="s">
        <v>647</v>
      </c>
      <c r="G52" s="30">
        <f>110839*1.35</f>
        <v>149632.65000000002</v>
      </c>
      <c r="H52" s="31"/>
      <c r="I52" s="31"/>
      <c r="J52" s="31"/>
      <c r="K52" s="31">
        <v>1.3</v>
      </c>
      <c r="L52" s="31"/>
      <c r="M52" s="30">
        <f t="shared" si="0"/>
        <v>194522.44500000004</v>
      </c>
      <c r="N52" s="30" t="str">
        <f ca="1">IFERROR(__xludf.DUMMYFUNCTION("IFERROR(PRODUCT(G52,FILTER(H52:L52,H52:L52&lt;&gt;0))/C52,""N/A"")"),"N/A")</f>
        <v>N/A</v>
      </c>
      <c r="O52" s="30" t="str">
        <f t="shared" si="1"/>
        <v>N/A</v>
      </c>
      <c r="P52" s="30">
        <f>M52/E52</f>
        <v>115580.77540106954</v>
      </c>
      <c r="Q52" s="30" t="str">
        <f t="shared" si="3"/>
        <v>INF</v>
      </c>
    </row>
    <row r="53" spans="1:17" ht="30" customHeight="1" x14ac:dyDescent="0.2">
      <c r="A53" s="27" t="s">
        <v>3740</v>
      </c>
      <c r="B53" s="27"/>
      <c r="C53" s="31">
        <v>0.95</v>
      </c>
      <c r="D53" s="31"/>
      <c r="E53" s="31">
        <f>0.46+18*0.95+3*1.483</f>
        <v>22.009</v>
      </c>
      <c r="F53" s="27">
        <v>22</v>
      </c>
      <c r="G53" s="30">
        <v>26001</v>
      </c>
      <c r="H53" s="31">
        <v>1.1499999999999999</v>
      </c>
      <c r="I53" s="31">
        <v>1.22</v>
      </c>
      <c r="J53" s="31">
        <v>1.25</v>
      </c>
      <c r="K53" s="31">
        <v>1.3</v>
      </c>
      <c r="L53" s="31">
        <v>1.0777000000000001</v>
      </c>
      <c r="M53" s="30">
        <f t="shared" si="0"/>
        <v>63885.010496287505</v>
      </c>
      <c r="N53" s="30">
        <f ca="1">IFERROR(__xludf.DUMMYFUNCTION("IFERROR(PRODUCT(G53,FILTER(H53:L53,H53:L53&lt;&gt;0))/C53,""N/A"")"),67247.3794697763)</f>
        <v>67247.379469776293</v>
      </c>
      <c r="O53" s="30" t="str">
        <f t="shared" si="1"/>
        <v>N/A</v>
      </c>
      <c r="P53" s="30">
        <f t="shared" ref="P53:P60" si="7">IFERROR(Q53/E53,"N/A")</f>
        <v>63858.886406393976</v>
      </c>
      <c r="Q53" s="30">
        <f t="shared" si="3"/>
        <v>1405470.230918325</v>
      </c>
    </row>
    <row r="54" spans="1:17" ht="30" customHeight="1" x14ac:dyDescent="0.2">
      <c r="A54" s="27" t="s">
        <v>3741</v>
      </c>
      <c r="B54" s="27"/>
      <c r="C54" s="31">
        <v>0.433</v>
      </c>
      <c r="D54" s="31"/>
      <c r="E54" s="31">
        <f>4.05*3+1.3</f>
        <v>13.45</v>
      </c>
      <c r="F54" s="27">
        <v>28</v>
      </c>
      <c r="G54" s="30">
        <v>19500</v>
      </c>
      <c r="H54" s="31">
        <v>1.47</v>
      </c>
      <c r="I54" s="31">
        <v>1.22</v>
      </c>
      <c r="J54" s="31">
        <v>1.25</v>
      </c>
      <c r="K54" s="31">
        <v>1.3</v>
      </c>
      <c r="L54" s="31">
        <v>1.0777000000000001</v>
      </c>
      <c r="M54" s="30">
        <f t="shared" si="0"/>
        <v>61243.926266250004</v>
      </c>
      <c r="N54" s="30">
        <f ca="1">IFERROR(__xludf.DUMMYFUNCTION("IFERROR(PRODUCT(G54,FILTER(H54:L54,H54:L54&lt;&gt;0))/C54,""N/A"")"),141440.938259237)</f>
        <v>141440.93825923701</v>
      </c>
      <c r="O54" s="30" t="str">
        <f t="shared" si="1"/>
        <v>N/A</v>
      </c>
      <c r="P54" s="30">
        <f t="shared" si="7"/>
        <v>127496.6494762082</v>
      </c>
      <c r="Q54" s="30">
        <f t="shared" si="3"/>
        <v>1714829.9354550003</v>
      </c>
    </row>
    <row r="55" spans="1:17" ht="30" customHeight="1" x14ac:dyDescent="0.2">
      <c r="A55" s="27" t="s">
        <v>3742</v>
      </c>
      <c r="B55" s="27"/>
      <c r="C55" s="31">
        <v>0.433</v>
      </c>
      <c r="D55" s="31"/>
      <c r="E55" s="31">
        <f>3.6*5+0.416</f>
        <v>18.416</v>
      </c>
      <c r="F55" s="27">
        <v>37</v>
      </c>
      <c r="G55" s="30">
        <f>13686*1.15</f>
        <v>15738.9</v>
      </c>
      <c r="H55" s="31">
        <v>1.35</v>
      </c>
      <c r="I55" s="31">
        <v>1.22</v>
      </c>
      <c r="J55" s="31">
        <v>1.25</v>
      </c>
      <c r="K55" s="31">
        <v>1.3</v>
      </c>
      <c r="L55" s="31">
        <v>1.0777000000000001</v>
      </c>
      <c r="M55" s="30">
        <f t="shared" si="0"/>
        <v>45396.17100997876</v>
      </c>
      <c r="N55" s="30">
        <f ca="1">IFERROR(__xludf.DUMMYFUNCTION("IFERROR(PRODUCT(G55,FILTER(H55:L55,H55:L55&lt;&gt;0))/C55,""N/A"")"),104841.041593484)</f>
        <v>104841.041593484</v>
      </c>
      <c r="O55" s="30" t="str">
        <f t="shared" si="1"/>
        <v>N/A</v>
      </c>
      <c r="P55" s="30">
        <f t="shared" si="7"/>
        <v>91206.468688597612</v>
      </c>
      <c r="Q55" s="30">
        <f t="shared" si="3"/>
        <v>1679658.3273692136</v>
      </c>
    </row>
    <row r="56" spans="1:17" ht="30" customHeight="1" x14ac:dyDescent="0.2">
      <c r="A56" s="27" t="s">
        <v>3743</v>
      </c>
      <c r="B56" s="27"/>
      <c r="C56" s="31" t="s">
        <v>2144</v>
      </c>
      <c r="D56" s="31"/>
      <c r="E56" s="31" t="s">
        <v>2144</v>
      </c>
      <c r="F56" s="27">
        <v>6.37</v>
      </c>
      <c r="G56" s="30" t="s">
        <v>2144</v>
      </c>
      <c r="H56" s="31"/>
      <c r="I56" s="31">
        <v>1.22</v>
      </c>
      <c r="J56" s="31">
        <v>1.25</v>
      </c>
      <c r="K56" s="31">
        <v>1.3</v>
      </c>
      <c r="L56" s="31">
        <v>1.0777000000000001</v>
      </c>
      <c r="M56" s="30">
        <f t="shared" si="0"/>
        <v>2.1365402499999999</v>
      </c>
      <c r="N56" s="30" t="str">
        <f ca="1">IFERROR(__xludf.DUMMYFUNCTION("IFERROR(PRODUCT(G56,FILTER(H56:L56,H56:L56&lt;&gt;0))/C56,""N/A"")"),"N/A")</f>
        <v>N/A</v>
      </c>
      <c r="O56" s="30" t="str">
        <f t="shared" si="1"/>
        <v>N/A</v>
      </c>
      <c r="P56" s="30" t="str">
        <f t="shared" si="7"/>
        <v>N/A</v>
      </c>
      <c r="Q56" s="30">
        <f t="shared" si="3"/>
        <v>13.609761392500001</v>
      </c>
    </row>
    <row r="57" spans="1:17" ht="30" customHeight="1" x14ac:dyDescent="0.2">
      <c r="A57" s="27" t="s">
        <v>3744</v>
      </c>
      <c r="B57" s="27"/>
      <c r="C57" s="31">
        <f>3.183-0.9</f>
        <v>2.2829999999999999</v>
      </c>
      <c r="D57" s="31"/>
      <c r="E57" s="31">
        <v>2.7829999999999999</v>
      </c>
      <c r="F57" s="27">
        <v>1</v>
      </c>
      <c r="G57" s="30">
        <v>464691</v>
      </c>
      <c r="H57" s="31"/>
      <c r="I57" s="31"/>
      <c r="J57" s="31"/>
      <c r="K57" s="31">
        <v>1</v>
      </c>
      <c r="L57" s="31"/>
      <c r="M57" s="30">
        <f t="shared" si="0"/>
        <v>464691</v>
      </c>
      <c r="N57" s="30">
        <f ca="1">IFERROR(__xludf.DUMMYFUNCTION("IFERROR(PRODUCT(G57,FILTER(H57:L57,H57:L57&lt;&gt;0))/C57,""N/A"")"),203544.021024967)</f>
        <v>203544.02102496699</v>
      </c>
      <c r="O57" s="30" t="str">
        <f t="shared" si="1"/>
        <v>N/A</v>
      </c>
      <c r="P57" s="30">
        <f t="shared" si="7"/>
        <v>166974.84728710025</v>
      </c>
      <c r="Q57" s="30">
        <f t="shared" si="3"/>
        <v>464691</v>
      </c>
    </row>
    <row r="58" spans="1:17" ht="30" customHeight="1" x14ac:dyDescent="0.2">
      <c r="A58" s="27" t="s">
        <v>3745</v>
      </c>
      <c r="B58" s="27"/>
      <c r="C58" s="31">
        <v>1.3</v>
      </c>
      <c r="D58" s="31"/>
      <c r="E58" s="31">
        <f>0.774+3*5.75+3.883</f>
        <v>21.907</v>
      </c>
      <c r="F58" s="27">
        <v>16</v>
      </c>
      <c r="G58" s="30">
        <v>69648</v>
      </c>
      <c r="H58" s="31"/>
      <c r="I58" s="31">
        <v>1.22</v>
      </c>
      <c r="J58" s="31">
        <v>1.25</v>
      </c>
      <c r="K58" s="31">
        <v>1.3</v>
      </c>
      <c r="L58" s="31"/>
      <c r="M58" s="30">
        <f t="shared" si="0"/>
        <v>138077.16</v>
      </c>
      <c r="N58" s="30">
        <f ca="1">IFERROR(__xludf.DUMMYFUNCTION("IFERROR(PRODUCT(G58,FILTER(H58:L58,H58:L58&lt;&gt;0))/C58,""N/A"")"),106213.2)</f>
        <v>106213.2</v>
      </c>
      <c r="O58" s="30" t="str">
        <f t="shared" si="1"/>
        <v>N/A</v>
      </c>
      <c r="P58" s="30">
        <f t="shared" si="7"/>
        <v>100846.05651161729</v>
      </c>
      <c r="Q58" s="30">
        <f t="shared" si="3"/>
        <v>2209234.56</v>
      </c>
    </row>
    <row r="59" spans="1:17" ht="30" customHeight="1" x14ac:dyDescent="0.2">
      <c r="A59" s="27" t="s">
        <v>3746</v>
      </c>
      <c r="B59" s="27"/>
      <c r="C59" s="31" t="s">
        <v>2144</v>
      </c>
      <c r="D59" s="31"/>
      <c r="E59" s="31" t="s">
        <v>2144</v>
      </c>
      <c r="F59" s="27"/>
      <c r="G59" s="30" t="s">
        <v>2144</v>
      </c>
      <c r="H59" s="31"/>
      <c r="I59" s="31"/>
      <c r="J59" s="31"/>
      <c r="K59" s="31"/>
      <c r="L59" s="31"/>
      <c r="M59" s="30">
        <f t="shared" si="0"/>
        <v>0</v>
      </c>
      <c r="N59" s="30" t="str">
        <f ca="1">IFERROR(__xludf.DUMMYFUNCTION("IFERROR(PRODUCT(G59,FILTER(H59:L59,H59:L59&lt;&gt;0))/C59,""N/A"")"),"N/A")</f>
        <v>N/A</v>
      </c>
      <c r="O59" s="30" t="str">
        <f t="shared" si="1"/>
        <v>N/A</v>
      </c>
      <c r="P59" s="30" t="str">
        <f t="shared" si="7"/>
        <v>N/A</v>
      </c>
      <c r="Q59" s="30">
        <f t="shared" si="3"/>
        <v>0</v>
      </c>
    </row>
    <row r="60" spans="1:17" ht="30" customHeight="1" x14ac:dyDescent="0.2">
      <c r="A60" s="27" t="s">
        <v>3747</v>
      </c>
      <c r="B60" s="27"/>
      <c r="C60" s="31" t="s">
        <v>2144</v>
      </c>
      <c r="D60" s="31"/>
      <c r="E60" s="31" t="s">
        <v>2144</v>
      </c>
      <c r="F60" s="27"/>
      <c r="G60" s="30" t="s">
        <v>2144</v>
      </c>
      <c r="H60" s="31"/>
      <c r="I60" s="31"/>
      <c r="J60" s="31"/>
      <c r="K60" s="31"/>
      <c r="L60" s="31"/>
      <c r="M60" s="30">
        <f t="shared" si="0"/>
        <v>0</v>
      </c>
      <c r="N60" s="30" t="str">
        <f ca="1">IFERROR(__xludf.DUMMYFUNCTION("IFERROR(PRODUCT(G60,FILTER(H60:L60,H60:L60&lt;&gt;0))/C60,""N/A"")"),"N/A")</f>
        <v>N/A</v>
      </c>
      <c r="O60" s="30" t="str">
        <f t="shared" si="1"/>
        <v>N/A</v>
      </c>
      <c r="P60" s="30" t="str">
        <f t="shared" si="7"/>
        <v>N/A</v>
      </c>
      <c r="Q60" s="30">
        <f t="shared" si="3"/>
        <v>0</v>
      </c>
    </row>
    <row r="61" spans="1:17" ht="30" customHeight="1" x14ac:dyDescent="0.2">
      <c r="A61" s="27" t="s">
        <v>3748</v>
      </c>
      <c r="B61" s="27"/>
      <c r="C61" s="31" t="s">
        <v>593</v>
      </c>
      <c r="D61" s="31"/>
      <c r="E61" s="31">
        <v>1.6830000000000001</v>
      </c>
      <c r="F61" s="27" t="s">
        <v>647</v>
      </c>
      <c r="G61" s="30">
        <f>107928*1.35</f>
        <v>145702.80000000002</v>
      </c>
      <c r="H61" s="31"/>
      <c r="I61" s="31"/>
      <c r="J61" s="31"/>
      <c r="K61" s="31">
        <v>1.3</v>
      </c>
      <c r="L61" s="31"/>
      <c r="M61" s="30">
        <f t="shared" si="0"/>
        <v>189413.64000000004</v>
      </c>
      <c r="N61" s="30" t="str">
        <f ca="1">IFERROR(__xludf.DUMMYFUNCTION("IFERROR(PRODUCT(G61,FILTER(H61:L61,H61:L61&lt;&gt;0))/C61,""N/A"")"),"N/A")</f>
        <v>N/A</v>
      </c>
      <c r="O61" s="30" t="str">
        <f t="shared" si="1"/>
        <v>N/A</v>
      </c>
      <c r="P61" s="30">
        <f>M61/E61</f>
        <v>112545.24064171125</v>
      </c>
      <c r="Q61" s="30" t="str">
        <f t="shared" si="3"/>
        <v>INF</v>
      </c>
    </row>
    <row r="62" spans="1:17" ht="30" customHeight="1" x14ac:dyDescent="0.2">
      <c r="A62" s="27" t="s">
        <v>3749</v>
      </c>
      <c r="B62" s="27"/>
      <c r="C62" s="31">
        <v>0.98299999999999998</v>
      </c>
      <c r="D62" s="31"/>
      <c r="E62" s="31">
        <f>0.5+0.983*29+1.517*4</f>
        <v>35.074999999999996</v>
      </c>
      <c r="F62" s="27">
        <v>34</v>
      </c>
      <c r="G62" s="30">
        <v>33409</v>
      </c>
      <c r="H62" s="31">
        <v>1.2</v>
      </c>
      <c r="I62" s="31">
        <v>1.22</v>
      </c>
      <c r="J62" s="31">
        <v>1.25</v>
      </c>
      <c r="K62" s="31">
        <v>1.3</v>
      </c>
      <c r="L62" s="31">
        <v>1.0777000000000001</v>
      </c>
      <c r="M62" s="30">
        <f t="shared" si="0"/>
        <v>85655.607854699992</v>
      </c>
      <c r="N62" s="30">
        <f ca="1">IFERROR(__xludf.DUMMYFUNCTION("IFERROR(PRODUCT(G62,FILTER(H62:L62,H62:L62&lt;&gt;0))/C62,""N/A"")"),87136.9357626653)</f>
        <v>87136.935762665307</v>
      </c>
      <c r="O62" s="30" t="str">
        <f t="shared" si="1"/>
        <v>N/A</v>
      </c>
      <c r="P62" s="30">
        <f t="shared" ref="P62:P72" si="8">IFERROR(Q62/E62,"N/A")</f>
        <v>83030.382524869579</v>
      </c>
      <c r="Q62" s="30">
        <f t="shared" si="3"/>
        <v>2912290.6670598001</v>
      </c>
    </row>
    <row r="63" spans="1:17" ht="30" customHeight="1" x14ac:dyDescent="0.2">
      <c r="A63" s="27" t="s">
        <v>3750</v>
      </c>
      <c r="B63" s="27"/>
      <c r="C63" s="31">
        <f t="shared" ref="C63:C64" si="9">3.7-3.083</f>
        <v>0.61699999999999999</v>
      </c>
      <c r="D63" s="31"/>
      <c r="E63" s="31">
        <f t="shared" ref="E63:E64" si="10">1.85*3</f>
        <v>5.5500000000000007</v>
      </c>
      <c r="F63" s="27">
        <v>5</v>
      </c>
      <c r="G63" s="30">
        <v>156865</v>
      </c>
      <c r="H63" s="31"/>
      <c r="I63" s="31">
        <v>1.22</v>
      </c>
      <c r="J63" s="31">
        <v>1.25</v>
      </c>
      <c r="K63" s="31">
        <v>1.3</v>
      </c>
      <c r="L63" s="31"/>
      <c r="M63" s="30">
        <f t="shared" si="0"/>
        <v>310984.86249999999</v>
      </c>
      <c r="N63" s="30">
        <f ca="1">IFERROR(__xludf.DUMMYFUNCTION("IFERROR(PRODUCT(G63,FILTER(H63:L63,H63:L63&lt;&gt;0))/C63,""N/A"")"),504027.329821718)</f>
        <v>504027.32982171798</v>
      </c>
      <c r="O63" s="30" t="str">
        <f t="shared" si="1"/>
        <v>N/A</v>
      </c>
      <c r="P63" s="30">
        <f t="shared" si="8"/>
        <v>280166.54279279278</v>
      </c>
      <c r="Q63" s="30">
        <f t="shared" si="3"/>
        <v>1554924.3125</v>
      </c>
    </row>
    <row r="64" spans="1:17" ht="30" customHeight="1" x14ac:dyDescent="0.2">
      <c r="A64" s="27" t="s">
        <v>3751</v>
      </c>
      <c r="B64" s="27"/>
      <c r="C64" s="31">
        <f t="shared" si="9"/>
        <v>0.61699999999999999</v>
      </c>
      <c r="D64" s="31"/>
      <c r="E64" s="31">
        <f t="shared" si="10"/>
        <v>5.5500000000000007</v>
      </c>
      <c r="F64" s="27">
        <v>5</v>
      </c>
      <c r="G64" s="30">
        <v>156865</v>
      </c>
      <c r="H64" s="31"/>
      <c r="I64" s="31">
        <v>1.22</v>
      </c>
      <c r="J64" s="31">
        <v>1.25</v>
      </c>
      <c r="K64" s="31">
        <v>1.3</v>
      </c>
      <c r="L64" s="31"/>
      <c r="M64" s="30">
        <f t="shared" si="0"/>
        <v>310984.86249999999</v>
      </c>
      <c r="N64" s="30">
        <f ca="1">IFERROR(__xludf.DUMMYFUNCTION("IFERROR(PRODUCT(G64,FILTER(H64:L64,H64:L64&lt;&gt;0))/C64,""N/A"")"),504027.329821718)</f>
        <v>504027.32982171798</v>
      </c>
      <c r="O64" s="30" t="str">
        <f t="shared" si="1"/>
        <v>N/A</v>
      </c>
      <c r="P64" s="30">
        <f t="shared" si="8"/>
        <v>280166.54279279278</v>
      </c>
      <c r="Q64" s="30">
        <f t="shared" si="3"/>
        <v>1554924.3125</v>
      </c>
    </row>
    <row r="65" spans="1:17" ht="30" customHeight="1" x14ac:dyDescent="0.2">
      <c r="A65" s="27" t="s">
        <v>3752</v>
      </c>
      <c r="B65" s="27"/>
      <c r="C65" s="31">
        <v>1.1000000000000001</v>
      </c>
      <c r="D65" s="31"/>
      <c r="E65" s="31">
        <f>SUM(0.3,1.1,2.117,1.1,2.17,1.1,2.117,1.1,2.117,1.1)</f>
        <v>14.321</v>
      </c>
      <c r="F65" s="27">
        <v>10</v>
      </c>
      <c r="G65" s="30">
        <v>126999</v>
      </c>
      <c r="H65" s="31"/>
      <c r="I65" s="31">
        <v>1.22</v>
      </c>
      <c r="J65" s="31">
        <v>1.25</v>
      </c>
      <c r="K65" s="31">
        <v>1.3</v>
      </c>
      <c r="L65" s="31">
        <v>1.0777000000000001</v>
      </c>
      <c r="M65" s="30">
        <f t="shared" si="0"/>
        <v>271338.47520975006</v>
      </c>
      <c r="N65" s="30">
        <f ca="1">IFERROR(__xludf.DUMMYFUNCTION("IFERROR(PRODUCT(G65,FILTER(H65:L65,H65:L65&lt;&gt;0))/C65,""N/A"")"),246671.341099772)</f>
        <v>246671.34109977199</v>
      </c>
      <c r="O65" s="30" t="str">
        <f t="shared" si="1"/>
        <v>N/A</v>
      </c>
      <c r="P65" s="30">
        <f t="shared" si="8"/>
        <v>189468.94435427</v>
      </c>
      <c r="Q65" s="30">
        <f t="shared" si="3"/>
        <v>2713384.7520975005</v>
      </c>
    </row>
    <row r="66" spans="1:17" ht="30" customHeight="1" x14ac:dyDescent="0.2">
      <c r="A66" s="27" t="s">
        <v>3753</v>
      </c>
      <c r="B66" s="27"/>
      <c r="C66" s="31">
        <v>1.1000000000000001</v>
      </c>
      <c r="D66" s="31"/>
      <c r="E66" s="31">
        <f>SUM(0.3,1.1,1.317,1.1,1.317,1.1,1.317,1.1,1.317,1.1)</f>
        <v>11.068</v>
      </c>
      <c r="F66" s="27">
        <v>10</v>
      </c>
      <c r="G66" s="30">
        <v>126999</v>
      </c>
      <c r="H66" s="31"/>
      <c r="I66" s="31">
        <v>1.22</v>
      </c>
      <c r="J66" s="31">
        <v>1.25</v>
      </c>
      <c r="K66" s="31">
        <v>1.3</v>
      </c>
      <c r="L66" s="31">
        <v>1.0777000000000001</v>
      </c>
      <c r="M66" s="30">
        <f t="shared" si="0"/>
        <v>271338.47520975006</v>
      </c>
      <c r="N66" s="30">
        <f ca="1">IFERROR(__xludf.DUMMYFUNCTION("IFERROR(PRODUCT(G66,FILTER(H66:L66,H66:L66&lt;&gt;0))/C66,""N/A"")"),246671.341099772)</f>
        <v>246671.34109977199</v>
      </c>
      <c r="O66" s="30" t="str">
        <f t="shared" si="1"/>
        <v>N/A</v>
      </c>
      <c r="P66" s="30">
        <f t="shared" si="8"/>
        <v>245155.83231816956</v>
      </c>
      <c r="Q66" s="30">
        <f t="shared" si="3"/>
        <v>2713384.7520975005</v>
      </c>
    </row>
    <row r="67" spans="1:17" ht="30" customHeight="1" x14ac:dyDescent="0.2">
      <c r="A67" s="27" t="s">
        <v>3754</v>
      </c>
      <c r="B67" s="27"/>
      <c r="C67" s="31">
        <f>1.95-0.616</f>
        <v>1.3340000000000001</v>
      </c>
      <c r="D67" s="31"/>
      <c r="E67" s="31">
        <f>11*3.05+1.966</f>
        <v>35.515999999999998</v>
      </c>
      <c r="F67" s="27" t="s">
        <v>3755</v>
      </c>
      <c r="G67" s="30"/>
      <c r="H67" s="31"/>
      <c r="I67" s="31">
        <v>1.22</v>
      </c>
      <c r="J67" s="31">
        <v>1.25</v>
      </c>
      <c r="K67" s="31">
        <v>1.3</v>
      </c>
      <c r="L67" s="31"/>
      <c r="M67" s="30">
        <f t="shared" si="0"/>
        <v>1.9824999999999999</v>
      </c>
      <c r="N67" s="30">
        <f ca="1">IFERROR(__xludf.DUMMYFUNCTION("IFERROR(PRODUCT(G67,FILTER(H67:L67,H67:L67&lt;&gt;0))/C67,""N/A"")"),1.48613193403298)</f>
        <v>1.4861319340329799</v>
      </c>
      <c r="O67" s="30" t="str">
        <f t="shared" si="1"/>
        <v>N/A</v>
      </c>
      <c r="P67" s="30">
        <f t="shared" si="8"/>
        <v>5.5819912152269398E-2</v>
      </c>
      <c r="Q67" s="30">
        <f t="shared" si="3"/>
        <v>1.9824999999999999</v>
      </c>
    </row>
    <row r="68" spans="1:17" ht="30" customHeight="1" x14ac:dyDescent="0.2">
      <c r="A68" s="27" t="s">
        <v>3756</v>
      </c>
      <c r="B68" s="27"/>
      <c r="C68" s="31">
        <f>2.55-0.616</f>
        <v>1.9339999999999997</v>
      </c>
      <c r="D68" s="31"/>
      <c r="E68" s="31">
        <f>7*4.033+3.05+1.966</f>
        <v>33.247</v>
      </c>
      <c r="F68" s="27" t="s">
        <v>3757</v>
      </c>
      <c r="G68" s="30"/>
      <c r="H68" s="31"/>
      <c r="I68" s="31">
        <v>1.22</v>
      </c>
      <c r="J68" s="31">
        <v>1.25</v>
      </c>
      <c r="K68" s="31">
        <v>1.3</v>
      </c>
      <c r="L68" s="31"/>
      <c r="M68" s="30">
        <f t="shared" si="0"/>
        <v>1.9824999999999999</v>
      </c>
      <c r="N68" s="30">
        <f ca="1">IFERROR(__xludf.DUMMYFUNCTION("IFERROR(PRODUCT(G68,FILTER(H68:L68,H68:L68&lt;&gt;0))/C68,""N/A"")"),1.02507755946225)</f>
        <v>1.0250775594622501</v>
      </c>
      <c r="O68" s="30" t="str">
        <f t="shared" si="1"/>
        <v>N/A</v>
      </c>
      <c r="P68" s="30">
        <f t="shared" si="8"/>
        <v>5.962944025024814E-2</v>
      </c>
      <c r="Q68" s="30">
        <f t="shared" si="3"/>
        <v>1.9824999999999999</v>
      </c>
    </row>
    <row r="69" spans="1:17" ht="30" customHeight="1" x14ac:dyDescent="0.2">
      <c r="A69" s="27" t="s">
        <v>3758</v>
      </c>
      <c r="B69" s="27"/>
      <c r="C69" s="31">
        <f>2.966-0.583</f>
        <v>2.383</v>
      </c>
      <c r="D69" s="31"/>
      <c r="E69" s="31">
        <f>6*5.017+1.934</f>
        <v>32.036000000000001</v>
      </c>
      <c r="F69" s="27" t="s">
        <v>3759</v>
      </c>
      <c r="G69" s="30"/>
      <c r="H69" s="31"/>
      <c r="I69" s="31">
        <v>1.22</v>
      </c>
      <c r="J69" s="31">
        <v>1.25</v>
      </c>
      <c r="K69" s="31">
        <v>1.3</v>
      </c>
      <c r="L69" s="31"/>
      <c r="M69" s="30">
        <f t="shared" si="0"/>
        <v>1.9824999999999999</v>
      </c>
      <c r="N69" s="30">
        <f ca="1">IFERROR(__xludf.DUMMYFUNCTION("IFERROR(PRODUCT(G69,FILTER(H69:L69,H69:L69&lt;&gt;0))/C69,""N/A"")"),0.831934536298783)</f>
        <v>0.831934536298783</v>
      </c>
      <c r="O69" s="30" t="str">
        <f t="shared" si="1"/>
        <v>N/A</v>
      </c>
      <c r="P69" s="30">
        <f t="shared" si="8"/>
        <v>6.1883506055687348E-2</v>
      </c>
      <c r="Q69" s="30">
        <f t="shared" si="3"/>
        <v>1.9824999999999999</v>
      </c>
    </row>
    <row r="70" spans="1:17" ht="30" customHeight="1" x14ac:dyDescent="0.2">
      <c r="A70" s="27" t="s">
        <v>3760</v>
      </c>
      <c r="B70" s="27"/>
      <c r="C70" s="31">
        <f>0.95-0.25</f>
        <v>0.7</v>
      </c>
      <c r="D70" s="31"/>
      <c r="E70" s="31">
        <f>0.25+1.767*7</f>
        <v>12.619</v>
      </c>
      <c r="F70" s="27">
        <v>8</v>
      </c>
      <c r="G70" s="30">
        <v>85808</v>
      </c>
      <c r="H70" s="31"/>
      <c r="I70" s="31">
        <v>1.22</v>
      </c>
      <c r="J70" s="31">
        <v>1.25</v>
      </c>
      <c r="K70" s="31">
        <v>1.3</v>
      </c>
      <c r="L70" s="31"/>
      <c r="M70" s="30">
        <f t="shared" si="0"/>
        <v>170114.36000000002</v>
      </c>
      <c r="N70" s="30">
        <f ca="1">IFERROR(__xludf.DUMMYFUNCTION("IFERROR(PRODUCT(G70,FILTER(H70:L70,H70:L70&lt;&gt;0))/C70,""N/A"")"),243020.514285714)</f>
        <v>243020.51428571399</v>
      </c>
      <c r="O70" s="30" t="str">
        <f t="shared" si="1"/>
        <v>N/A</v>
      </c>
      <c r="P70" s="30">
        <f t="shared" si="8"/>
        <v>107846.49179808226</v>
      </c>
      <c r="Q70" s="30">
        <f t="shared" si="3"/>
        <v>1360914.8800000001</v>
      </c>
    </row>
    <row r="71" spans="1:17" ht="30" customHeight="1" x14ac:dyDescent="0.2">
      <c r="A71" s="27" t="s">
        <v>3761</v>
      </c>
      <c r="B71" s="27"/>
      <c r="C71" s="31" t="s">
        <v>593</v>
      </c>
      <c r="D71" s="31"/>
      <c r="E71" s="31">
        <v>1.6830000000000001</v>
      </c>
      <c r="F71" s="27" t="s">
        <v>647</v>
      </c>
      <c r="G71" s="30">
        <f>30661*2</f>
        <v>61322</v>
      </c>
      <c r="H71" s="31"/>
      <c r="I71" s="31"/>
      <c r="J71" s="31"/>
      <c r="K71" s="31">
        <v>1.3</v>
      </c>
      <c r="L71" s="31"/>
      <c r="M71" s="30">
        <f t="shared" si="0"/>
        <v>79718.600000000006</v>
      </c>
      <c r="N71" s="30" t="str">
        <f ca="1">IFERROR(__xludf.DUMMYFUNCTION("IFERROR(PRODUCT(G71,FILTER(H71:L71,H71:L71&lt;&gt;0))/C71,""N/A"")"),"N/A")</f>
        <v>N/A</v>
      </c>
      <c r="O71" s="30" t="str">
        <f t="shared" si="1"/>
        <v>N/A</v>
      </c>
      <c r="P71" s="30" t="str">
        <f t="shared" si="8"/>
        <v>N/A</v>
      </c>
      <c r="Q71" s="30" t="str">
        <f t="shared" si="3"/>
        <v>INF</v>
      </c>
    </row>
    <row r="72" spans="1:17" ht="30" customHeight="1" x14ac:dyDescent="0.2">
      <c r="A72" s="27" t="s">
        <v>3762</v>
      </c>
      <c r="B72" s="27"/>
      <c r="C72" s="31" t="s">
        <v>593</v>
      </c>
      <c r="D72" s="31"/>
      <c r="E72" s="31">
        <f>0.8+6*5.183</f>
        <v>31.898</v>
      </c>
      <c r="F72" s="27">
        <v>6.12</v>
      </c>
      <c r="G72" s="30">
        <f>68704+5*21996</f>
        <v>178684</v>
      </c>
      <c r="H72" s="31">
        <v>1.4175</v>
      </c>
      <c r="I72" s="31">
        <v>1.22</v>
      </c>
      <c r="J72" s="31">
        <v>1.25</v>
      </c>
      <c r="K72" s="31">
        <v>1.3</v>
      </c>
      <c r="L72" s="31">
        <v>1.0777000000000001</v>
      </c>
      <c r="M72" s="30">
        <f t="shared" si="0"/>
        <v>541152.6785089426</v>
      </c>
      <c r="N72" s="30" t="str">
        <f ca="1">IFERROR(__xludf.DUMMYFUNCTION("IFERROR(PRODUCT(G72,FILTER(H72:L72,H72:L72&lt;&gt;0))/C72,""N/A"")"),"N/A")</f>
        <v>N/A</v>
      </c>
      <c r="O72" s="30" t="str">
        <f t="shared" si="1"/>
        <v>N/A</v>
      </c>
      <c r="P72" s="30">
        <f t="shared" si="8"/>
        <v>103826.39640337101</v>
      </c>
      <c r="Q72" s="30">
        <f t="shared" si="3"/>
        <v>3311854.3924747282</v>
      </c>
    </row>
    <row r="73" spans="1:17" ht="30" customHeight="1" x14ac:dyDescent="0.2">
      <c r="A73" s="27" t="s">
        <v>3763</v>
      </c>
      <c r="B73" s="27"/>
      <c r="C73" s="31" t="s">
        <v>593</v>
      </c>
      <c r="D73" s="31"/>
      <c r="E73" s="31">
        <f>1.216-0.316</f>
        <v>0.89999999999999991</v>
      </c>
      <c r="F73" s="27" t="s">
        <v>647</v>
      </c>
      <c r="G73" s="30">
        <v>58215</v>
      </c>
      <c r="H73" s="31"/>
      <c r="I73" s="31"/>
      <c r="J73" s="31"/>
      <c r="K73" s="31">
        <v>1.3</v>
      </c>
      <c r="L73" s="31"/>
      <c r="M73" s="30">
        <f t="shared" si="0"/>
        <v>75679.5</v>
      </c>
      <c r="N73" s="30" t="str">
        <f ca="1">IFERROR(__xludf.DUMMYFUNCTION("IFERROR(PRODUCT(G73,FILTER(H73:L73,H73:L73&lt;&gt;0))/C73,""N/A"")"),"N/A")</f>
        <v>N/A</v>
      </c>
      <c r="O73" s="30" t="str">
        <f t="shared" si="1"/>
        <v>N/A</v>
      </c>
      <c r="P73" s="30">
        <f>M73/E73</f>
        <v>84088.333333333343</v>
      </c>
      <c r="Q73" s="30" t="str">
        <f t="shared" si="3"/>
        <v>INF</v>
      </c>
    </row>
    <row r="74" spans="1:17" ht="30" customHeight="1" x14ac:dyDescent="0.2">
      <c r="A74" s="27" t="s">
        <v>3764</v>
      </c>
      <c r="B74" s="27"/>
      <c r="C74" s="31">
        <f>1.65-1.1</f>
        <v>0.54999999999999982</v>
      </c>
      <c r="D74" s="31"/>
      <c r="E74" s="31">
        <v>1.9159999999999999</v>
      </c>
      <c r="F74" s="27">
        <v>1</v>
      </c>
      <c r="G74" s="30">
        <v>457196</v>
      </c>
      <c r="H74" s="31"/>
      <c r="I74" s="31"/>
      <c r="J74" s="31"/>
      <c r="K74" s="31">
        <v>1.3</v>
      </c>
      <c r="L74" s="31"/>
      <c r="M74" s="30">
        <f t="shared" si="0"/>
        <v>594354.80000000005</v>
      </c>
      <c r="N74" s="30">
        <f ca="1">IFERROR(__xludf.DUMMYFUNCTION("IFERROR(PRODUCT(G74,FILTER(H74:L74,H74:L74&lt;&gt;0))/C74,""N/A"")"),1080645.09090909)</f>
        <v>1080645.0909090899</v>
      </c>
      <c r="O74" s="30" t="str">
        <f t="shared" si="1"/>
        <v>N/A</v>
      </c>
      <c r="P74" s="30">
        <f t="shared" ref="P74:P76" si="11">IFERROR(Q74/E74,"N/A")</f>
        <v>310206.05427974951</v>
      </c>
      <c r="Q74" s="30">
        <f t="shared" si="3"/>
        <v>594354.80000000005</v>
      </c>
    </row>
    <row r="75" spans="1:17" ht="30" customHeight="1" x14ac:dyDescent="0.2">
      <c r="A75" s="27" t="s">
        <v>3765</v>
      </c>
      <c r="B75" s="27"/>
      <c r="C75" s="31" t="s">
        <v>2144</v>
      </c>
      <c r="D75" s="31"/>
      <c r="E75" s="31" t="s">
        <v>2144</v>
      </c>
      <c r="F75" s="27">
        <v>1</v>
      </c>
      <c r="G75" s="30" t="s">
        <v>2144</v>
      </c>
      <c r="H75" s="31"/>
      <c r="I75" s="31">
        <v>1.22</v>
      </c>
      <c r="J75" s="31">
        <v>1.25</v>
      </c>
      <c r="K75" s="31">
        <v>1.3</v>
      </c>
      <c r="L75" s="31"/>
      <c r="M75" s="30">
        <f t="shared" si="0"/>
        <v>1.9824999999999999</v>
      </c>
      <c r="N75" s="30" t="str">
        <f ca="1">IFERROR(__xludf.DUMMYFUNCTION("IFERROR(PRODUCT(G75,FILTER(H75:L75,H75:L75&lt;&gt;0))/C75,""N/A"")"),"N/A")</f>
        <v>N/A</v>
      </c>
      <c r="O75" s="30" t="str">
        <f t="shared" si="1"/>
        <v>N/A</v>
      </c>
      <c r="P75" s="30" t="str">
        <f t="shared" si="11"/>
        <v>N/A</v>
      </c>
      <c r="Q75" s="30">
        <f t="shared" si="3"/>
        <v>1.9824999999999999</v>
      </c>
    </row>
    <row r="76" spans="1:17" ht="30" customHeight="1" x14ac:dyDescent="0.2">
      <c r="A76" s="27" t="s">
        <v>3766</v>
      </c>
      <c r="B76" s="27"/>
      <c r="C76" s="31">
        <f>10.166/(588-435)</f>
        <v>6.6444444444444445E-2</v>
      </c>
      <c r="D76" s="31"/>
      <c r="E76" s="31">
        <v>42.2</v>
      </c>
      <c r="F76" s="27">
        <v>588</v>
      </c>
      <c r="G76" s="30">
        <v>1074</v>
      </c>
      <c r="H76" s="31">
        <v>1.1499999999999999</v>
      </c>
      <c r="I76" s="31">
        <v>1.22</v>
      </c>
      <c r="J76" s="31">
        <v>1.25</v>
      </c>
      <c r="K76" s="31">
        <v>1.3</v>
      </c>
      <c r="L76" s="31">
        <v>1.0777000000000001</v>
      </c>
      <c r="M76" s="30">
        <f t="shared" si="0"/>
        <v>2638.8408627750005</v>
      </c>
      <c r="N76" s="30">
        <f ca="1">IFERROR(__xludf.DUMMYFUNCTION("IFERROR(PRODUCT(G76,FILTER(H76:L76,H76:L76&lt;&gt;0))/C76,""N/A"")"),39714.9962625)</f>
        <v>39714.996262499997</v>
      </c>
      <c r="O76" s="30" t="str">
        <f t="shared" si="1"/>
        <v>N/A</v>
      </c>
      <c r="P76" s="30">
        <f t="shared" si="11"/>
        <v>36768.683111651655</v>
      </c>
      <c r="Q76" s="30">
        <f t="shared" si="3"/>
        <v>1551638.4273117001</v>
      </c>
    </row>
    <row r="77" spans="1:17" ht="30" customHeight="1" x14ac:dyDescent="0.2">
      <c r="A77" s="27" t="s">
        <v>3767</v>
      </c>
      <c r="B77" s="27"/>
      <c r="C77" s="31" t="s">
        <v>593</v>
      </c>
      <c r="D77" s="31"/>
      <c r="E77" s="31">
        <v>1.6830000000000001</v>
      </c>
      <c r="F77" s="27" t="s">
        <v>647</v>
      </c>
      <c r="G77" s="30">
        <v>47458</v>
      </c>
      <c r="H77" s="31"/>
      <c r="I77" s="31"/>
      <c r="J77" s="31"/>
      <c r="K77" s="31">
        <v>1.3</v>
      </c>
      <c r="L77" s="31"/>
      <c r="M77" s="30">
        <f t="shared" si="0"/>
        <v>61695.4</v>
      </c>
      <c r="N77" s="30" t="str">
        <f ca="1">IFERROR(__xludf.DUMMYFUNCTION("IFERROR(PRODUCT(G77,FILTER(H77:L77,H77:L77&lt;&gt;0))/C77,""N/A"")"),"N/A")</f>
        <v>N/A</v>
      </c>
      <c r="O77" s="30" t="str">
        <f t="shared" si="1"/>
        <v>N/A</v>
      </c>
      <c r="P77" s="30">
        <f>M77/E77</f>
        <v>36657.991681521096</v>
      </c>
      <c r="Q77" s="30" t="str">
        <f t="shared" si="3"/>
        <v>INF</v>
      </c>
    </row>
    <row r="78" spans="1:17" ht="30" customHeight="1" x14ac:dyDescent="0.2">
      <c r="A78" s="27" t="s">
        <v>3768</v>
      </c>
      <c r="B78" s="27"/>
      <c r="C78" s="31">
        <f>4.416-3.983</f>
        <v>0.43300000000000027</v>
      </c>
      <c r="D78" s="31"/>
      <c r="E78" s="31">
        <f>0.833+9*1.784</f>
        <v>16.888999999999999</v>
      </c>
      <c r="F78" s="27">
        <v>10</v>
      </c>
      <c r="G78" s="30">
        <v>111176</v>
      </c>
      <c r="H78" s="31"/>
      <c r="I78" s="31">
        <v>1.22</v>
      </c>
      <c r="J78" s="31">
        <v>1.25</v>
      </c>
      <c r="K78" s="31">
        <v>1.3</v>
      </c>
      <c r="L78" s="31"/>
      <c r="M78" s="30">
        <f t="shared" si="0"/>
        <v>220406.42</v>
      </c>
      <c r="N78" s="30">
        <f ca="1">IFERROR(__xludf.DUMMYFUNCTION("IFERROR(PRODUCT(G78,FILTER(H78:L78,H78:L78&lt;&gt;0))/C78,""N/A"")"),509021.755196304)</f>
        <v>509021.755196304</v>
      </c>
      <c r="O78" s="30" t="str">
        <f t="shared" si="1"/>
        <v>N/A</v>
      </c>
      <c r="P78" s="30">
        <f>IFERROR(Q78/E78,"N/A")</f>
        <v>130502.94274379776</v>
      </c>
      <c r="Q78" s="30">
        <f t="shared" si="3"/>
        <v>2204064.2000000002</v>
      </c>
    </row>
    <row r="79" spans="1:17" ht="30" customHeight="1" x14ac:dyDescent="0.2">
      <c r="A79" s="27" t="s">
        <v>903</v>
      </c>
      <c r="B79" s="27"/>
      <c r="C79" s="31" t="s">
        <v>593</v>
      </c>
      <c r="D79" s="31"/>
      <c r="E79" s="31">
        <f>8.85-7.233</f>
        <v>1.617</v>
      </c>
      <c r="F79" s="27" t="s">
        <v>647</v>
      </c>
      <c r="G79" s="30">
        <f>1529*2</f>
        <v>3058</v>
      </c>
      <c r="H79" s="31"/>
      <c r="I79" s="31"/>
      <c r="J79" s="31"/>
      <c r="K79" s="31">
        <v>1.3</v>
      </c>
      <c r="L79" s="31"/>
      <c r="M79" s="30">
        <f t="shared" si="0"/>
        <v>3975.4</v>
      </c>
      <c r="N79" s="30" t="str">
        <f ca="1">IFERROR(__xludf.DUMMYFUNCTION("IFERROR(PRODUCT(G79,FILTER(H79:L79,H79:L79&lt;&gt;0))/C79,""N/A"")"),"N/A")</f>
        <v>N/A</v>
      </c>
      <c r="O79" s="30" t="str">
        <f t="shared" si="1"/>
        <v>N/A</v>
      </c>
      <c r="P79" s="30">
        <f>M79/E79</f>
        <v>2458.5034013605441</v>
      </c>
      <c r="Q79" s="30" t="str">
        <f t="shared" si="3"/>
        <v>INF</v>
      </c>
    </row>
    <row r="80" spans="1:17" ht="30" customHeight="1" x14ac:dyDescent="0.2">
      <c r="A80" s="27" t="s">
        <v>465</v>
      </c>
      <c r="B80" s="27"/>
      <c r="C80" s="31">
        <v>0.80049999999999999</v>
      </c>
      <c r="D80" s="31"/>
      <c r="E80" s="31">
        <f>3.283-2.25+34*0.8005</f>
        <v>28.25</v>
      </c>
      <c r="F80" s="27">
        <v>35</v>
      </c>
      <c r="G80" s="30">
        <v>41415</v>
      </c>
      <c r="H80" s="31"/>
      <c r="I80" s="31">
        <v>1.22</v>
      </c>
      <c r="J80" s="31">
        <v>1.25</v>
      </c>
      <c r="K80" s="31">
        <v>1.3</v>
      </c>
      <c r="L80" s="31"/>
      <c r="M80" s="30">
        <f t="shared" si="0"/>
        <v>82105.237499999988</v>
      </c>
      <c r="N80" s="30">
        <f ca="1">IFERROR(__xludf.DUMMYFUNCTION("IFERROR(PRODUCT(G80,FILTER(H80:L80,H80:L80&lt;&gt;0))/C80,""N/A"")"),102567.44222361)</f>
        <v>102567.44222361001</v>
      </c>
      <c r="O80" s="30" t="str">
        <f t="shared" si="1"/>
        <v>N/A</v>
      </c>
      <c r="P80" s="30">
        <f t="shared" ref="P80:P84" si="12">IFERROR(Q80/E80,"N/A")</f>
        <v>101723.30309734514</v>
      </c>
      <c r="Q80" s="30">
        <f t="shared" si="3"/>
        <v>2873683.3125</v>
      </c>
    </row>
    <row r="81" spans="1:17" ht="30" customHeight="1" x14ac:dyDescent="0.2">
      <c r="A81" s="27" t="s">
        <v>3769</v>
      </c>
      <c r="B81" s="27"/>
      <c r="C81" s="31" t="s">
        <v>593</v>
      </c>
      <c r="D81" s="31"/>
      <c r="E81" s="31">
        <f>7.15*4</f>
        <v>28.6</v>
      </c>
      <c r="F81" s="27">
        <v>21</v>
      </c>
      <c r="G81" s="30">
        <v>28588</v>
      </c>
      <c r="H81" s="31">
        <v>1.1499999999999999</v>
      </c>
      <c r="I81" s="31">
        <v>1.22</v>
      </c>
      <c r="J81" s="31">
        <v>1.25</v>
      </c>
      <c r="K81" s="31">
        <v>1.3</v>
      </c>
      <c r="L81" s="31">
        <v>1.0777000000000001</v>
      </c>
      <c r="M81" s="30">
        <f t="shared" si="0"/>
        <v>70241.324567049989</v>
      </c>
      <c r="N81" s="30" t="str">
        <f ca="1">IFERROR(__xludf.DUMMYFUNCTION("IFERROR(PRODUCT(G81,FILTER(H81:L81,H81:L81&lt;&gt;0))/C81,""N/A"")"),"N/A")</f>
        <v>N/A</v>
      </c>
      <c r="O81" s="30" t="str">
        <f t="shared" si="1"/>
        <v>N/A</v>
      </c>
      <c r="P81" s="30">
        <f t="shared" si="12"/>
        <v>51575.797759022731</v>
      </c>
      <c r="Q81" s="30">
        <f t="shared" si="3"/>
        <v>1475067.8159080502</v>
      </c>
    </row>
    <row r="82" spans="1:17" ht="30" customHeight="1" x14ac:dyDescent="0.2">
      <c r="A82" s="27" t="s">
        <v>3770</v>
      </c>
      <c r="B82" s="27"/>
      <c r="C82" s="31">
        <f>10.166-0.316</f>
        <v>9.85</v>
      </c>
      <c r="D82" s="31"/>
      <c r="E82" s="31">
        <f>10.166+9.85*22</f>
        <v>226.86599999999999</v>
      </c>
      <c r="F82" s="27">
        <v>23</v>
      </c>
      <c r="G82" s="30">
        <v>87799</v>
      </c>
      <c r="H82" s="31"/>
      <c r="I82" s="31">
        <v>1.22</v>
      </c>
      <c r="J82" s="31">
        <v>1.25</v>
      </c>
      <c r="K82" s="31">
        <v>1.3</v>
      </c>
      <c r="L82" s="31"/>
      <c r="M82" s="30">
        <f t="shared" si="0"/>
        <v>174061.51750000002</v>
      </c>
      <c r="N82" s="30">
        <f ca="1">IFERROR(__xludf.DUMMYFUNCTION("IFERROR(PRODUCT(G82,FILTER(H82:L82,H82:L82&lt;&gt;0))/C82,""N/A"")"),17671.2200507614)</f>
        <v>17671.2200507614</v>
      </c>
      <c r="O82" s="30" t="str">
        <f t="shared" si="1"/>
        <v>N/A</v>
      </c>
      <c r="P82" s="30">
        <f t="shared" si="12"/>
        <v>17646.60593698483</v>
      </c>
      <c r="Q82" s="30">
        <f t="shared" si="3"/>
        <v>4003414.9024999999</v>
      </c>
    </row>
    <row r="83" spans="1:17" ht="30" customHeight="1" x14ac:dyDescent="0.2">
      <c r="A83" s="27" t="s">
        <v>3771</v>
      </c>
      <c r="B83" s="27"/>
      <c r="C83" s="31">
        <f>5.066-0.333</f>
        <v>4.7329999999999997</v>
      </c>
      <c r="D83" s="31"/>
      <c r="E83" s="31">
        <f>5.066+22*4.733</f>
        <v>109.19199999999999</v>
      </c>
      <c r="F83" s="27">
        <v>23</v>
      </c>
      <c r="G83" s="30">
        <v>43078</v>
      </c>
      <c r="H83" s="31"/>
      <c r="I83" s="31">
        <v>1.22</v>
      </c>
      <c r="J83" s="31">
        <v>1.25</v>
      </c>
      <c r="K83" s="31">
        <v>1.3</v>
      </c>
      <c r="L83" s="31"/>
      <c r="M83" s="30">
        <f t="shared" si="0"/>
        <v>85402.134999999995</v>
      </c>
      <c r="N83" s="30">
        <f ca="1">IFERROR(__xludf.DUMMYFUNCTION("IFERROR(PRODUCT(G83,FILTER(H83:L83,H83:L83&lt;&gt;0))/C83,""N/A"")"),18043.9752799492)</f>
        <v>18043.975279949202</v>
      </c>
      <c r="O83" s="30" t="str">
        <f t="shared" si="1"/>
        <v>N/A</v>
      </c>
      <c r="P83" s="30">
        <f t="shared" si="12"/>
        <v>17988.947038244562</v>
      </c>
      <c r="Q83" s="30">
        <f t="shared" si="3"/>
        <v>1964249.105</v>
      </c>
    </row>
    <row r="84" spans="1:17" ht="30" customHeight="1" x14ac:dyDescent="0.2">
      <c r="A84" s="27" t="s">
        <v>3772</v>
      </c>
      <c r="B84" s="27"/>
      <c r="C84" s="31" t="s">
        <v>593</v>
      </c>
      <c r="D84" s="31"/>
      <c r="E84" s="31">
        <f>33*0.5</f>
        <v>16.5</v>
      </c>
      <c r="F84" s="27">
        <v>34</v>
      </c>
      <c r="G84" s="30">
        <v>26199</v>
      </c>
      <c r="H84" s="31"/>
      <c r="I84" s="31">
        <v>1.22</v>
      </c>
      <c r="J84" s="31">
        <v>1.25</v>
      </c>
      <c r="K84" s="31">
        <v>1.3</v>
      </c>
      <c r="L84" s="31"/>
      <c r="M84" s="30">
        <f t="shared" si="0"/>
        <v>51939.517500000002</v>
      </c>
      <c r="N84" s="30" t="str">
        <f ca="1">IFERROR(__xludf.DUMMYFUNCTION("IFERROR(PRODUCT(G84,FILTER(H84:L84,H84:L84&lt;&gt;0))/C84,""N/A"")"),"N/A")</f>
        <v>N/A</v>
      </c>
      <c r="O84" s="30" t="str">
        <f t="shared" si="1"/>
        <v>N/A</v>
      </c>
      <c r="P84" s="30">
        <f t="shared" si="12"/>
        <v>107026.88454545454</v>
      </c>
      <c r="Q84" s="30">
        <f t="shared" si="3"/>
        <v>1765943.595</v>
      </c>
    </row>
  </sheetData>
  <autoFilter ref="A2:Q84" xr:uid="{00000000-0009-0000-0000-000014000000}">
    <sortState xmlns:xlrd2="http://schemas.microsoft.com/office/spreadsheetml/2017/richdata2" ref="A2:Q84">
      <sortCondition ref="A2:A84"/>
    </sortState>
  </autoFilter>
  <mergeCells count="4">
    <mergeCell ref="A1:B1"/>
    <mergeCell ref="C1:E1"/>
    <mergeCell ref="F1:L1"/>
    <mergeCell ref="M1:Q1"/>
  </mergeCells>
  <conditionalFormatting sqref="B3:B84 G45:G46 A54">
    <cfRule type="containsText" dxfId="1" priority="2" operator="containsText" text="!">
      <formula>NOT(ISERROR(SEARCH(("!"),(B3))))</formula>
    </cfRule>
  </conditionalFormatting>
  <conditionalFormatting sqref="B20">
    <cfRule type="colorScale" priority="1">
      <colorScale>
        <cfvo type="min"/>
        <cfvo type="formula" val="1"/>
        <cfvo type="max"/>
        <color rgb="FFE67C73"/>
        <color rgb="FFFFD666"/>
        <color rgb="FF57BB8A"/>
      </colorScale>
    </cfRule>
  </conditionalFormatting>
  <conditionalFormatting sqref="M3:M84">
    <cfRule type="colorScale" priority="6">
      <colorScale>
        <cfvo type="min"/>
        <cfvo type="percentile" val="50"/>
        <cfvo type="max"/>
        <color rgb="FFE67C73"/>
        <color rgb="FFFFD666"/>
        <color rgb="FF57BB8A"/>
      </colorScale>
    </cfRule>
  </conditionalFormatting>
  <conditionalFormatting sqref="N3:O84">
    <cfRule type="colorScale" priority="3">
      <colorScale>
        <cfvo type="min"/>
        <cfvo type="percentile" val="50"/>
        <cfvo type="max"/>
        <color rgb="FFE67C73"/>
        <color rgb="FFFFD666"/>
        <color rgb="FF57BB8A"/>
      </colorScale>
    </cfRule>
  </conditionalFormatting>
  <conditionalFormatting sqref="P3:P84">
    <cfRule type="colorScale" priority="5">
      <colorScale>
        <cfvo type="min"/>
        <cfvo type="percentile" val="50"/>
        <cfvo type="max"/>
        <color rgb="FFE67C73"/>
        <color rgb="FFFFD666"/>
        <color rgb="FF57BB8A"/>
      </colorScale>
    </cfRule>
  </conditionalFormatting>
  <conditionalFormatting sqref="Q3:Q84">
    <cfRule type="colorScale" priority="4">
      <colorScale>
        <cfvo type="min"/>
        <cfvo type="percentile" val="50"/>
        <cfvo type="max"/>
        <color rgb="FFE67C73"/>
        <color rgb="FFFFD666"/>
        <color rgb="FF57BB8A"/>
      </colorScale>
    </cfRule>
  </conditionalFormatting>
  <pageMargins left="0.7" right="0.7" top="0.75" bottom="0.75" header="0.3" footer="0.3"/>
  <drawing r:id="rId1"/>
  <legacy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outlinePr summaryBelow="0" summaryRight="0"/>
  </sheetPr>
  <dimension ref="A1:A6"/>
  <sheetViews>
    <sheetView workbookViewId="0"/>
  </sheetViews>
  <sheetFormatPr defaultColWidth="12.5703125" defaultRowHeight="15.75" customHeight="1" x14ac:dyDescent="0.2"/>
  <sheetData>
    <row r="1" spans="1:1" x14ac:dyDescent="0.2">
      <c r="A1" s="154" t="s">
        <v>901</v>
      </c>
    </row>
    <row r="2" spans="1:1" x14ac:dyDescent="0.2">
      <c r="A2" s="154" t="s">
        <v>903</v>
      </c>
    </row>
    <row r="3" spans="1:1" x14ac:dyDescent="0.2">
      <c r="A3" s="154" t="s">
        <v>3773</v>
      </c>
    </row>
    <row r="4" spans="1:1" x14ac:dyDescent="0.2">
      <c r="A4" s="154" t="s">
        <v>3774</v>
      </c>
    </row>
    <row r="5" spans="1:1" x14ac:dyDescent="0.2">
      <c r="A5" s="154" t="s">
        <v>3775</v>
      </c>
    </row>
    <row r="6" spans="1:1" x14ac:dyDescent="0.2">
      <c r="A6" s="154" t="s">
        <v>3776</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outlinePr summaryBelow="0" summaryRight="0"/>
  </sheetPr>
  <dimension ref="A1:I141"/>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10.140625" customWidth="1"/>
    <col min="2" max="4" width="5.140625" customWidth="1"/>
    <col min="5" max="5" width="22" customWidth="1"/>
    <col min="6" max="7" width="54.7109375" customWidth="1"/>
    <col min="8" max="9" width="8.85546875" customWidth="1"/>
  </cols>
  <sheetData>
    <row r="1" spans="1:9" ht="30" customHeight="1" x14ac:dyDescent="0.2">
      <c r="A1" s="155" t="s">
        <v>357</v>
      </c>
      <c r="B1" s="155" t="s">
        <v>3777</v>
      </c>
      <c r="C1" s="155" t="s">
        <v>3778</v>
      </c>
      <c r="D1" s="155" t="s">
        <v>356</v>
      </c>
      <c r="E1" s="155" t="s">
        <v>192</v>
      </c>
      <c r="F1" s="155" t="str">
        <f>CONCATENATE("Modifier(s)  |  ",100*ROUND(COUNT(I2:I141)/COUNTA(E2:E141),3),"%")</f>
        <v>Modifier(s)  |  66.4%</v>
      </c>
      <c r="G1" s="155" t="s">
        <v>30</v>
      </c>
      <c r="H1" s="155" t="s">
        <v>933</v>
      </c>
      <c r="I1" s="155" t="s">
        <v>3779</v>
      </c>
    </row>
    <row r="2" spans="1:9" ht="30" customHeight="1" x14ac:dyDescent="0.2">
      <c r="A2" s="27"/>
      <c r="B2" s="27"/>
      <c r="C2" s="27"/>
      <c r="D2" s="27"/>
      <c r="E2" s="27" t="s">
        <v>389</v>
      </c>
      <c r="F2" s="24" t="s">
        <v>370</v>
      </c>
      <c r="G2" s="24" t="s">
        <v>389</v>
      </c>
      <c r="H2" s="27">
        <v>0.183</v>
      </c>
      <c r="I2" s="27">
        <v>3550</v>
      </c>
    </row>
    <row r="3" spans="1:9" ht="30" customHeight="1" x14ac:dyDescent="0.2">
      <c r="A3" s="27"/>
      <c r="B3" s="27"/>
      <c r="C3" s="27"/>
      <c r="D3" s="27"/>
      <c r="E3" s="27" t="s">
        <v>389</v>
      </c>
      <c r="F3" s="24" t="s">
        <v>326</v>
      </c>
      <c r="G3" s="24"/>
      <c r="H3" s="27"/>
      <c r="I3" s="27"/>
    </row>
    <row r="4" spans="1:9" ht="30" customHeight="1" x14ac:dyDescent="0.2">
      <c r="A4" s="27"/>
      <c r="B4" s="27"/>
      <c r="C4" s="27"/>
      <c r="D4" s="27"/>
      <c r="E4" s="27" t="s">
        <v>526</v>
      </c>
      <c r="F4" s="24" t="s">
        <v>379</v>
      </c>
      <c r="G4" s="24" t="s">
        <v>3780</v>
      </c>
      <c r="H4" s="27">
        <v>0.41599999999999998</v>
      </c>
      <c r="I4" s="27">
        <f>3518*5</f>
        <v>17590</v>
      </c>
    </row>
    <row r="5" spans="1:9" ht="30" customHeight="1" x14ac:dyDescent="0.2">
      <c r="A5" s="27"/>
      <c r="B5" s="27"/>
      <c r="C5" s="27"/>
      <c r="D5" s="27"/>
      <c r="E5" s="27" t="s">
        <v>526</v>
      </c>
      <c r="F5" s="24" t="s">
        <v>379</v>
      </c>
      <c r="G5" s="24" t="s">
        <v>3781</v>
      </c>
      <c r="H5" s="27">
        <v>1.633</v>
      </c>
      <c r="I5" s="27">
        <v>26639</v>
      </c>
    </row>
    <row r="6" spans="1:9" ht="30" customHeight="1" x14ac:dyDescent="0.2">
      <c r="A6" s="27"/>
      <c r="B6" s="27"/>
      <c r="C6" s="27"/>
      <c r="D6" s="27"/>
      <c r="E6" s="27" t="s">
        <v>3782</v>
      </c>
      <c r="F6" s="24" t="s">
        <v>3783</v>
      </c>
      <c r="G6" s="24" t="s">
        <v>440</v>
      </c>
      <c r="H6" s="27">
        <v>0</v>
      </c>
      <c r="I6" s="27">
        <f>12*1864</f>
        <v>22368</v>
      </c>
    </row>
    <row r="7" spans="1:9" ht="30" customHeight="1" x14ac:dyDescent="0.2">
      <c r="A7" s="27"/>
      <c r="B7" s="27"/>
      <c r="C7" s="27"/>
      <c r="D7" s="27"/>
      <c r="E7" s="27" t="s">
        <v>3782</v>
      </c>
      <c r="F7" s="24" t="s">
        <v>3783</v>
      </c>
      <c r="G7" s="24" t="s">
        <v>389</v>
      </c>
      <c r="H7" s="27">
        <v>0.216</v>
      </c>
      <c r="I7" s="27">
        <v>36349</v>
      </c>
    </row>
    <row r="8" spans="1:9" ht="30" customHeight="1" x14ac:dyDescent="0.2">
      <c r="A8" s="27"/>
      <c r="B8" s="27"/>
      <c r="C8" s="27"/>
      <c r="D8" s="27"/>
      <c r="E8" s="27" t="s">
        <v>3782</v>
      </c>
      <c r="F8" s="24" t="s">
        <v>3783</v>
      </c>
      <c r="G8" s="24" t="s">
        <v>3784</v>
      </c>
      <c r="H8" s="27">
        <v>0.85</v>
      </c>
      <c r="I8" s="27">
        <v>43645</v>
      </c>
    </row>
    <row r="9" spans="1:9" ht="30" customHeight="1" x14ac:dyDescent="0.2">
      <c r="A9" s="27"/>
      <c r="B9" s="27"/>
      <c r="C9" s="27"/>
      <c r="D9" s="27"/>
      <c r="E9" s="27" t="s">
        <v>3782</v>
      </c>
      <c r="F9" s="24" t="s">
        <v>3783</v>
      </c>
      <c r="G9" s="24" t="s">
        <v>901</v>
      </c>
      <c r="H9" s="27">
        <v>0.86599999999999999</v>
      </c>
      <c r="I9" s="27">
        <v>3908</v>
      </c>
    </row>
    <row r="10" spans="1:9" ht="30" customHeight="1" x14ac:dyDescent="0.2">
      <c r="A10" s="27"/>
      <c r="B10" s="27"/>
      <c r="C10" s="27"/>
      <c r="D10" s="27"/>
      <c r="E10" s="27" t="s">
        <v>531</v>
      </c>
      <c r="F10" s="24" t="s">
        <v>3785</v>
      </c>
      <c r="G10" s="24" t="s">
        <v>389</v>
      </c>
      <c r="H10" s="27">
        <v>0.3</v>
      </c>
      <c r="I10" s="27">
        <v>58215</v>
      </c>
    </row>
    <row r="11" spans="1:9" ht="30" customHeight="1" x14ac:dyDescent="0.2">
      <c r="A11" s="27"/>
      <c r="B11" s="27"/>
      <c r="C11" s="27"/>
      <c r="D11" s="27"/>
      <c r="E11" s="27" t="s">
        <v>525</v>
      </c>
      <c r="F11" s="24" t="s">
        <v>3786</v>
      </c>
      <c r="G11" s="24" t="s">
        <v>440</v>
      </c>
      <c r="H11" s="27">
        <v>0</v>
      </c>
      <c r="I11" s="27">
        <f>12*1864</f>
        <v>22368</v>
      </c>
    </row>
    <row r="12" spans="1:9" ht="30" customHeight="1" x14ac:dyDescent="0.2">
      <c r="A12" s="27"/>
      <c r="B12" s="27"/>
      <c r="C12" s="27"/>
      <c r="D12" s="27"/>
      <c r="E12" s="27" t="s">
        <v>525</v>
      </c>
      <c r="F12" s="24" t="s">
        <v>3786</v>
      </c>
      <c r="G12" s="24" t="s">
        <v>389</v>
      </c>
      <c r="H12" s="27">
        <v>0.316</v>
      </c>
      <c r="I12" s="27">
        <f>92135+138202</f>
        <v>230337</v>
      </c>
    </row>
    <row r="13" spans="1:9" ht="30" customHeight="1" x14ac:dyDescent="0.2">
      <c r="A13" s="27"/>
      <c r="B13" s="27"/>
      <c r="C13" s="27"/>
      <c r="D13" s="27"/>
      <c r="E13" s="27" t="s">
        <v>522</v>
      </c>
      <c r="F13" s="24" t="s">
        <v>3785</v>
      </c>
      <c r="G13" s="24" t="s">
        <v>3787</v>
      </c>
      <c r="H13" s="27">
        <v>0.65</v>
      </c>
      <c r="I13" s="27">
        <f>12757*2</f>
        <v>25514</v>
      </c>
    </row>
    <row r="14" spans="1:9" ht="30" customHeight="1" x14ac:dyDescent="0.2">
      <c r="A14" s="27"/>
      <c r="B14" s="27"/>
      <c r="C14" s="27"/>
      <c r="D14" s="27"/>
      <c r="E14" s="27" t="s">
        <v>522</v>
      </c>
      <c r="F14" s="24" t="s">
        <v>3785</v>
      </c>
      <c r="G14" s="24" t="s">
        <v>3788</v>
      </c>
      <c r="H14" s="27">
        <v>1.6160000000000001</v>
      </c>
      <c r="I14" s="27">
        <v>148915</v>
      </c>
    </row>
    <row r="15" spans="1:9" ht="30" customHeight="1" x14ac:dyDescent="0.2">
      <c r="A15" s="27"/>
      <c r="B15" s="27"/>
      <c r="C15" s="27"/>
      <c r="D15" s="27"/>
      <c r="E15" s="27" t="s">
        <v>522</v>
      </c>
      <c r="F15" s="24" t="s">
        <v>3785</v>
      </c>
      <c r="G15" s="24" t="s">
        <v>3781</v>
      </c>
      <c r="H15" s="27">
        <v>1.65</v>
      </c>
      <c r="I15" s="27">
        <v>79916</v>
      </c>
    </row>
    <row r="16" spans="1:9" ht="30" customHeight="1" x14ac:dyDescent="0.2">
      <c r="A16" s="27"/>
      <c r="B16" s="27"/>
      <c r="C16" s="27"/>
      <c r="D16" s="27"/>
      <c r="E16" s="27" t="s">
        <v>532</v>
      </c>
      <c r="F16" s="24" t="s">
        <v>533</v>
      </c>
      <c r="G16" s="24" t="s">
        <v>389</v>
      </c>
      <c r="H16" s="27">
        <v>0.58299999999999996</v>
      </c>
      <c r="I16" s="27">
        <v>23075</v>
      </c>
    </row>
    <row r="17" spans="1:9" ht="30" customHeight="1" x14ac:dyDescent="0.2">
      <c r="A17" s="27"/>
      <c r="B17" s="27"/>
      <c r="C17" s="27"/>
      <c r="D17" s="27"/>
      <c r="E17" s="27" t="s">
        <v>529</v>
      </c>
      <c r="F17" s="24" t="s">
        <v>3789</v>
      </c>
      <c r="G17" s="24" t="s">
        <v>440</v>
      </c>
      <c r="H17" s="27">
        <v>0</v>
      </c>
      <c r="I17" s="27">
        <f>12*1864</f>
        <v>22368</v>
      </c>
    </row>
    <row r="18" spans="1:9" ht="30" customHeight="1" x14ac:dyDescent="0.2">
      <c r="A18" s="27"/>
      <c r="B18" s="27"/>
      <c r="C18" s="27"/>
      <c r="D18" s="27"/>
      <c r="E18" s="27" t="s">
        <v>529</v>
      </c>
      <c r="F18" s="24" t="s">
        <v>3789</v>
      </c>
      <c r="G18" s="24" t="s">
        <v>389</v>
      </c>
      <c r="H18" s="27">
        <v>0.33300000000000002</v>
      </c>
      <c r="I18" s="27">
        <f>80759+222087</f>
        <v>302846</v>
      </c>
    </row>
    <row r="19" spans="1:9" ht="30" customHeight="1" x14ac:dyDescent="0.2">
      <c r="A19" s="27"/>
      <c r="B19" s="27"/>
      <c r="C19" s="27"/>
      <c r="D19" s="27"/>
      <c r="E19" s="27" t="s">
        <v>530</v>
      </c>
      <c r="F19" s="24" t="s">
        <v>3790</v>
      </c>
      <c r="G19" s="24" t="s">
        <v>440</v>
      </c>
      <c r="H19" s="27">
        <v>0</v>
      </c>
      <c r="I19" s="27">
        <f>12*1864</f>
        <v>22368</v>
      </c>
    </row>
    <row r="20" spans="1:9" ht="30" customHeight="1" x14ac:dyDescent="0.2">
      <c r="A20" s="27"/>
      <c r="B20" s="27"/>
      <c r="C20" s="27"/>
      <c r="D20" s="27"/>
      <c r="E20" s="27" t="s">
        <v>530</v>
      </c>
      <c r="F20" s="24" t="s">
        <v>3790</v>
      </c>
      <c r="G20" s="24" t="s">
        <v>389</v>
      </c>
      <c r="H20" s="27">
        <v>0.33300000000000002</v>
      </c>
      <c r="I20" s="27">
        <f>126907+46148</f>
        <v>173055</v>
      </c>
    </row>
    <row r="21" spans="1:9" ht="30" customHeight="1" x14ac:dyDescent="0.2">
      <c r="A21" s="27"/>
      <c r="B21" s="27"/>
      <c r="C21" s="27"/>
      <c r="D21" s="27"/>
      <c r="E21" s="27" t="s">
        <v>3791</v>
      </c>
      <c r="F21" s="24" t="s">
        <v>3792</v>
      </c>
      <c r="G21" s="24" t="s">
        <v>440</v>
      </c>
      <c r="H21" s="27">
        <v>0.16600000000000001</v>
      </c>
      <c r="I21" s="27">
        <f>12*1864</f>
        <v>22368</v>
      </c>
    </row>
    <row r="22" spans="1:9" ht="30" customHeight="1" x14ac:dyDescent="0.2">
      <c r="A22" s="27"/>
      <c r="B22" s="27"/>
      <c r="C22" s="27"/>
      <c r="D22" s="27"/>
      <c r="E22" s="27" t="s">
        <v>3791</v>
      </c>
      <c r="F22" s="24" t="s">
        <v>3792</v>
      </c>
      <c r="G22" s="24" t="s">
        <v>389</v>
      </c>
      <c r="H22" s="27">
        <v>0.66600000000000004</v>
      </c>
      <c r="I22" s="27">
        <f>115008*2</f>
        <v>230016</v>
      </c>
    </row>
    <row r="23" spans="1:9" ht="30" customHeight="1" x14ac:dyDescent="0.2">
      <c r="A23" s="27"/>
      <c r="B23" s="27"/>
      <c r="C23" s="27"/>
      <c r="D23" s="27"/>
      <c r="E23" s="27" t="s">
        <v>3793</v>
      </c>
      <c r="F23" s="24" t="s">
        <v>493</v>
      </c>
      <c r="G23" s="24" t="s">
        <v>3794</v>
      </c>
      <c r="H23" s="27">
        <v>0.46600000000000003</v>
      </c>
      <c r="I23" s="27">
        <v>206</v>
      </c>
    </row>
    <row r="24" spans="1:9" ht="30" customHeight="1" x14ac:dyDescent="0.2">
      <c r="A24" s="27"/>
      <c r="B24" s="27"/>
      <c r="C24" s="27"/>
      <c r="D24" s="27"/>
      <c r="E24" s="27" t="s">
        <v>3793</v>
      </c>
      <c r="F24" s="24" t="s">
        <v>493</v>
      </c>
      <c r="G24" s="24" t="s">
        <v>3795</v>
      </c>
      <c r="H24" s="27">
        <v>2.1829999999999998</v>
      </c>
      <c r="I24" s="27">
        <v>50975</v>
      </c>
    </row>
    <row r="25" spans="1:9" ht="30" customHeight="1" x14ac:dyDescent="0.2">
      <c r="A25" s="27"/>
      <c r="B25" s="27"/>
      <c r="C25" s="27"/>
      <c r="D25" s="27"/>
      <c r="E25" s="27" t="s">
        <v>3793</v>
      </c>
      <c r="F25" s="24" t="s">
        <v>493</v>
      </c>
      <c r="G25" s="24" t="s">
        <v>901</v>
      </c>
      <c r="H25" s="27">
        <v>2.383</v>
      </c>
      <c r="I25" s="27">
        <v>3908</v>
      </c>
    </row>
    <row r="26" spans="1:9" ht="30" customHeight="1" x14ac:dyDescent="0.2">
      <c r="A26" s="27"/>
      <c r="B26" s="27"/>
      <c r="C26" s="27"/>
      <c r="D26" s="27"/>
      <c r="E26" s="27" t="s">
        <v>3796</v>
      </c>
      <c r="F26" s="24" t="s">
        <v>501</v>
      </c>
      <c r="G26" s="24" t="s">
        <v>3797</v>
      </c>
      <c r="H26" s="27">
        <v>1.6</v>
      </c>
      <c r="I26" s="27">
        <v>14696</v>
      </c>
    </row>
    <row r="27" spans="1:9" ht="30" customHeight="1" x14ac:dyDescent="0.2">
      <c r="A27" s="27"/>
      <c r="B27" s="27"/>
      <c r="C27" s="27"/>
      <c r="D27" s="27"/>
      <c r="E27" s="27" t="s">
        <v>3796</v>
      </c>
      <c r="F27" s="24" t="s">
        <v>501</v>
      </c>
      <c r="G27" s="24" t="s">
        <v>3798</v>
      </c>
      <c r="H27" s="27">
        <v>1.85</v>
      </c>
      <c r="I27" s="27">
        <v>3908</v>
      </c>
    </row>
    <row r="28" spans="1:9" ht="30" customHeight="1" x14ac:dyDescent="0.2">
      <c r="A28" s="27"/>
      <c r="B28" s="27"/>
      <c r="C28" s="27"/>
      <c r="D28" s="27"/>
      <c r="E28" s="27" t="s">
        <v>3796</v>
      </c>
      <c r="F28" s="24" t="s">
        <v>501</v>
      </c>
      <c r="G28" s="24" t="s">
        <v>3799</v>
      </c>
      <c r="H28" s="27">
        <v>3.383</v>
      </c>
      <c r="I28" s="27">
        <v>14696</v>
      </c>
    </row>
    <row r="29" spans="1:9" ht="30" customHeight="1" x14ac:dyDescent="0.2">
      <c r="A29" s="27"/>
      <c r="B29" s="27"/>
      <c r="C29" s="27"/>
      <c r="D29" s="27"/>
      <c r="E29" s="27" t="s">
        <v>3796</v>
      </c>
      <c r="F29" s="24" t="s">
        <v>501</v>
      </c>
      <c r="G29" s="24" t="s">
        <v>3800</v>
      </c>
      <c r="H29" s="27">
        <v>3.883</v>
      </c>
      <c r="I29" s="27">
        <v>3908</v>
      </c>
    </row>
    <row r="30" spans="1:9" ht="30" customHeight="1" x14ac:dyDescent="0.2">
      <c r="A30" s="27"/>
      <c r="B30" s="27"/>
      <c r="C30" s="27"/>
      <c r="D30" s="27"/>
      <c r="E30" s="27" t="s">
        <v>3796</v>
      </c>
      <c r="F30" s="24" t="s">
        <v>501</v>
      </c>
      <c r="G30" s="24" t="s">
        <v>3801</v>
      </c>
      <c r="H30" s="27">
        <v>5.1660000000000004</v>
      </c>
      <c r="I30" s="27">
        <v>14696</v>
      </c>
    </row>
    <row r="31" spans="1:9" ht="30" customHeight="1" x14ac:dyDescent="0.2">
      <c r="A31" s="27"/>
      <c r="B31" s="27"/>
      <c r="C31" s="27"/>
      <c r="D31" s="27"/>
      <c r="E31" s="27" t="s">
        <v>3796</v>
      </c>
      <c r="F31" s="24" t="s">
        <v>501</v>
      </c>
      <c r="G31" s="24" t="s">
        <v>3802</v>
      </c>
      <c r="H31" s="27">
        <v>5.9</v>
      </c>
      <c r="I31" s="27">
        <v>3908</v>
      </c>
    </row>
    <row r="32" spans="1:9" ht="30" customHeight="1" x14ac:dyDescent="0.2">
      <c r="A32" s="27"/>
      <c r="B32" s="27"/>
      <c r="C32" s="27"/>
      <c r="D32" s="27"/>
      <c r="E32" s="27" t="s">
        <v>3796</v>
      </c>
      <c r="F32" s="24" t="s">
        <v>501</v>
      </c>
      <c r="G32" s="24" t="s">
        <v>3803</v>
      </c>
      <c r="H32" s="27">
        <v>6.9329999999999998</v>
      </c>
      <c r="I32" s="27">
        <v>14696</v>
      </c>
    </row>
    <row r="33" spans="1:9" ht="30" customHeight="1" x14ac:dyDescent="0.2">
      <c r="A33" s="27"/>
      <c r="B33" s="27"/>
      <c r="C33" s="27"/>
      <c r="D33" s="27"/>
      <c r="E33" s="27" t="s">
        <v>3796</v>
      </c>
      <c r="F33" s="24" t="s">
        <v>501</v>
      </c>
      <c r="G33" s="24" t="s">
        <v>3804</v>
      </c>
      <c r="H33" s="27">
        <v>7.883</v>
      </c>
      <c r="I33" s="27">
        <v>3908</v>
      </c>
    </row>
    <row r="34" spans="1:9" ht="30" customHeight="1" x14ac:dyDescent="0.2">
      <c r="A34" s="27"/>
      <c r="B34" s="27"/>
      <c r="C34" s="27"/>
      <c r="D34" s="27"/>
      <c r="E34" s="27" t="s">
        <v>3796</v>
      </c>
      <c r="F34" s="24" t="s">
        <v>501</v>
      </c>
      <c r="G34" s="24" t="s">
        <v>3805</v>
      </c>
      <c r="H34" s="27">
        <v>8.7159999999999993</v>
      </c>
      <c r="I34" s="27">
        <v>14696</v>
      </c>
    </row>
    <row r="35" spans="1:9" ht="30" customHeight="1" x14ac:dyDescent="0.2">
      <c r="A35" s="27"/>
      <c r="B35" s="27"/>
      <c r="C35" s="27"/>
      <c r="D35" s="27"/>
      <c r="E35" s="27" t="s">
        <v>3796</v>
      </c>
      <c r="F35" s="24" t="s">
        <v>501</v>
      </c>
      <c r="G35" s="24" t="s">
        <v>3806</v>
      </c>
      <c r="H35" s="27">
        <v>9.8829999999999991</v>
      </c>
      <c r="I35" s="27">
        <v>3908</v>
      </c>
    </row>
    <row r="36" spans="1:9" ht="30" customHeight="1" x14ac:dyDescent="0.2">
      <c r="A36" s="27"/>
      <c r="B36" s="27"/>
      <c r="C36" s="27"/>
      <c r="D36" s="27"/>
      <c r="E36" s="27" t="s">
        <v>3807</v>
      </c>
      <c r="F36" s="24" t="s">
        <v>501</v>
      </c>
      <c r="G36" s="24" t="s">
        <v>3808</v>
      </c>
      <c r="H36" s="27">
        <v>0.65</v>
      </c>
      <c r="I36" s="27">
        <f>6124+123</f>
        <v>6247</v>
      </c>
    </row>
    <row r="37" spans="1:9" ht="30" customHeight="1" x14ac:dyDescent="0.2">
      <c r="A37" s="27"/>
      <c r="B37" s="27"/>
      <c r="C37" s="27"/>
      <c r="D37" s="27"/>
      <c r="E37" s="27" t="s">
        <v>3807</v>
      </c>
      <c r="F37" s="24" t="s">
        <v>501</v>
      </c>
      <c r="G37" s="24" t="s">
        <v>3798</v>
      </c>
      <c r="H37" s="27">
        <v>0.8</v>
      </c>
      <c r="I37" s="27">
        <v>3908</v>
      </c>
    </row>
    <row r="38" spans="1:9" ht="30" customHeight="1" x14ac:dyDescent="0.2">
      <c r="A38" s="27"/>
      <c r="B38" s="27"/>
      <c r="C38" s="27"/>
      <c r="D38" s="27"/>
      <c r="E38" s="27" t="s">
        <v>3807</v>
      </c>
      <c r="F38" s="24" t="s">
        <v>501</v>
      </c>
      <c r="G38" s="24" t="s">
        <v>3799</v>
      </c>
      <c r="H38" s="27">
        <v>1.3660000000000001</v>
      </c>
      <c r="I38" s="27">
        <v>9798</v>
      </c>
    </row>
    <row r="39" spans="1:9" ht="30" customHeight="1" x14ac:dyDescent="0.2">
      <c r="A39" s="27"/>
      <c r="B39" s="27"/>
      <c r="C39" s="27"/>
      <c r="D39" s="27"/>
      <c r="E39" s="27" t="s">
        <v>3807</v>
      </c>
      <c r="F39" s="24" t="s">
        <v>501</v>
      </c>
      <c r="G39" s="24" t="s">
        <v>3801</v>
      </c>
      <c r="H39" s="27">
        <v>2.133</v>
      </c>
      <c r="I39" s="27">
        <f>9798+1649</f>
        <v>11447</v>
      </c>
    </row>
    <row r="40" spans="1:9" ht="30" customHeight="1" x14ac:dyDescent="0.2">
      <c r="A40" s="27"/>
      <c r="B40" s="27"/>
      <c r="C40" s="27"/>
      <c r="D40" s="27"/>
      <c r="E40" s="27" t="s">
        <v>3807</v>
      </c>
      <c r="F40" s="24" t="s">
        <v>501</v>
      </c>
      <c r="G40" s="24" t="s">
        <v>3800</v>
      </c>
      <c r="H40" s="27">
        <v>2.5499999999999998</v>
      </c>
      <c r="I40" s="27">
        <v>3908</v>
      </c>
    </row>
    <row r="41" spans="1:9" ht="30" customHeight="1" x14ac:dyDescent="0.2">
      <c r="A41" s="27"/>
      <c r="B41" s="27"/>
      <c r="C41" s="27"/>
      <c r="D41" s="27"/>
      <c r="E41" s="27" t="s">
        <v>3807</v>
      </c>
      <c r="F41" s="24" t="s">
        <v>501</v>
      </c>
      <c r="G41" s="24" t="s">
        <v>3803</v>
      </c>
      <c r="H41" s="27">
        <v>2.8159999999999998</v>
      </c>
      <c r="I41" s="27">
        <f>9798+1649</f>
        <v>11447</v>
      </c>
    </row>
    <row r="42" spans="1:9" ht="30" customHeight="1" x14ac:dyDescent="0.2">
      <c r="A42" s="27"/>
      <c r="B42" s="27"/>
      <c r="C42" s="27"/>
      <c r="D42" s="27"/>
      <c r="E42" s="27" t="s">
        <v>3807</v>
      </c>
      <c r="F42" s="24" t="s">
        <v>501</v>
      </c>
      <c r="G42" s="24" t="s">
        <v>3802</v>
      </c>
      <c r="H42" s="27">
        <v>3.4</v>
      </c>
      <c r="I42" s="27">
        <v>3908</v>
      </c>
    </row>
    <row r="43" spans="1:9" ht="30" customHeight="1" x14ac:dyDescent="0.2">
      <c r="A43" s="27"/>
      <c r="B43" s="27"/>
      <c r="C43" s="27"/>
      <c r="D43" s="27"/>
      <c r="E43" s="27" t="s">
        <v>3807</v>
      </c>
      <c r="F43" s="24" t="s">
        <v>501</v>
      </c>
      <c r="G43" s="24" t="s">
        <v>3805</v>
      </c>
      <c r="H43" s="27">
        <v>3.5659999999999998</v>
      </c>
      <c r="I43" s="27">
        <f>9798+1649</f>
        <v>11447</v>
      </c>
    </row>
    <row r="44" spans="1:9" ht="30" customHeight="1" x14ac:dyDescent="0.2">
      <c r="A44" s="27"/>
      <c r="B44" s="27"/>
      <c r="C44" s="27"/>
      <c r="D44" s="27"/>
      <c r="E44" s="27" t="s">
        <v>3807</v>
      </c>
      <c r="F44" s="24" t="s">
        <v>501</v>
      </c>
      <c r="G44" s="24" t="s">
        <v>3804</v>
      </c>
      <c r="H44" s="27">
        <v>4.3</v>
      </c>
      <c r="I44" s="27">
        <v>3908</v>
      </c>
    </row>
    <row r="45" spans="1:9" ht="30" customHeight="1" x14ac:dyDescent="0.2">
      <c r="A45" s="27"/>
      <c r="B45" s="27"/>
      <c r="C45" s="27"/>
      <c r="D45" s="27"/>
      <c r="E45" s="27" t="s">
        <v>3807</v>
      </c>
      <c r="F45" s="24" t="s">
        <v>501</v>
      </c>
      <c r="G45" s="24" t="s">
        <v>3809</v>
      </c>
      <c r="H45" s="27">
        <v>4.3330000000000002</v>
      </c>
      <c r="I45" s="27">
        <v>9798</v>
      </c>
    </row>
    <row r="46" spans="1:9" ht="30" customHeight="1" x14ac:dyDescent="0.2">
      <c r="A46" s="27"/>
      <c r="B46" s="27"/>
      <c r="C46" s="27"/>
      <c r="D46" s="27"/>
      <c r="E46" s="27" t="s">
        <v>3807</v>
      </c>
      <c r="F46" s="24" t="s">
        <v>501</v>
      </c>
      <c r="G46" s="24" t="s">
        <v>3810</v>
      </c>
      <c r="H46" s="27">
        <v>5.0330000000000004</v>
      </c>
      <c r="I46" s="27">
        <v>9798</v>
      </c>
    </row>
    <row r="47" spans="1:9" ht="30" customHeight="1" x14ac:dyDescent="0.2">
      <c r="A47" s="27"/>
      <c r="B47" s="27"/>
      <c r="C47" s="27"/>
      <c r="D47" s="27"/>
      <c r="E47" s="27" t="s">
        <v>3807</v>
      </c>
      <c r="F47" s="24" t="s">
        <v>501</v>
      </c>
      <c r="G47" s="24" t="s">
        <v>3806</v>
      </c>
      <c r="H47" s="27">
        <v>5.266</v>
      </c>
      <c r="I47" s="27">
        <v>3908</v>
      </c>
    </row>
    <row r="48" spans="1:9" ht="30" customHeight="1" x14ac:dyDescent="0.2">
      <c r="A48" s="27"/>
      <c r="B48" s="27"/>
      <c r="C48" s="27"/>
      <c r="D48" s="27"/>
      <c r="E48" s="27" t="s">
        <v>3807</v>
      </c>
      <c r="F48" s="24" t="s">
        <v>505</v>
      </c>
      <c r="G48" s="24" t="s">
        <v>3808</v>
      </c>
      <c r="H48" s="27">
        <v>0.63300000000000001</v>
      </c>
      <c r="I48" s="27">
        <f>6124+123</f>
        <v>6247</v>
      </c>
    </row>
    <row r="49" spans="1:9" ht="30" customHeight="1" x14ac:dyDescent="0.2">
      <c r="A49" s="27"/>
      <c r="B49" s="27"/>
      <c r="C49" s="27"/>
      <c r="D49" s="27"/>
      <c r="E49" s="27" t="s">
        <v>3807</v>
      </c>
      <c r="F49" s="24" t="s">
        <v>505</v>
      </c>
      <c r="G49" s="24" t="s">
        <v>3798</v>
      </c>
      <c r="H49" s="27">
        <v>0.85</v>
      </c>
      <c r="I49" s="27">
        <v>3908</v>
      </c>
    </row>
    <row r="50" spans="1:9" ht="30" customHeight="1" x14ac:dyDescent="0.2">
      <c r="A50" s="27"/>
      <c r="B50" s="27"/>
      <c r="C50" s="27"/>
      <c r="D50" s="27"/>
      <c r="E50" s="27" t="s">
        <v>3807</v>
      </c>
      <c r="F50" s="24" t="s">
        <v>505</v>
      </c>
      <c r="G50" s="24" t="s">
        <v>3799</v>
      </c>
      <c r="H50" s="27">
        <v>1.35</v>
      </c>
      <c r="I50" s="27">
        <v>10012</v>
      </c>
    </row>
    <row r="51" spans="1:9" ht="30" customHeight="1" x14ac:dyDescent="0.2">
      <c r="A51" s="27"/>
      <c r="B51" s="27"/>
      <c r="C51" s="27"/>
      <c r="D51" s="27"/>
      <c r="E51" s="27" t="s">
        <v>3807</v>
      </c>
      <c r="F51" s="24" t="s">
        <v>505</v>
      </c>
      <c r="G51" s="24" t="s">
        <v>3801</v>
      </c>
      <c r="H51" s="27">
        <v>2.0659999999999998</v>
      </c>
      <c r="I51" s="27">
        <v>10640</v>
      </c>
    </row>
    <row r="52" spans="1:9" ht="30" customHeight="1" x14ac:dyDescent="0.2">
      <c r="A52" s="27"/>
      <c r="B52" s="27"/>
      <c r="C52" s="27"/>
      <c r="D52" s="27"/>
      <c r="E52" s="27" t="s">
        <v>3807</v>
      </c>
      <c r="F52" s="24" t="s">
        <v>505</v>
      </c>
      <c r="G52" s="24" t="s">
        <v>3800</v>
      </c>
      <c r="H52" s="27">
        <v>2.5499999999999998</v>
      </c>
      <c r="I52" s="27">
        <v>3908</v>
      </c>
    </row>
    <row r="53" spans="1:9" ht="30" customHeight="1" x14ac:dyDescent="0.2">
      <c r="A53" s="27"/>
      <c r="B53" s="27"/>
      <c r="C53" s="27"/>
      <c r="D53" s="27"/>
      <c r="E53" s="27" t="s">
        <v>3807</v>
      </c>
      <c r="F53" s="24" t="s">
        <v>505</v>
      </c>
      <c r="G53" s="24" t="s">
        <v>3803</v>
      </c>
      <c r="H53" s="27">
        <v>2.8</v>
      </c>
      <c r="I53" s="27">
        <v>11540</v>
      </c>
    </row>
    <row r="54" spans="1:9" ht="30" customHeight="1" x14ac:dyDescent="0.2">
      <c r="A54" s="27"/>
      <c r="B54" s="27"/>
      <c r="C54" s="27"/>
      <c r="D54" s="27"/>
      <c r="E54" s="27" t="s">
        <v>3807</v>
      </c>
      <c r="F54" s="24" t="s">
        <v>505</v>
      </c>
      <c r="G54" s="24" t="s">
        <v>3802</v>
      </c>
      <c r="H54" s="27">
        <v>3.4329999999999998</v>
      </c>
      <c r="I54" s="27">
        <v>3908</v>
      </c>
    </row>
    <row r="55" spans="1:9" ht="30" customHeight="1" x14ac:dyDescent="0.2">
      <c r="A55" s="27"/>
      <c r="B55" s="27"/>
      <c r="C55" s="27"/>
      <c r="D55" s="27"/>
      <c r="E55" s="27" t="s">
        <v>3807</v>
      </c>
      <c r="F55" s="24" t="s">
        <v>505</v>
      </c>
      <c r="G55" s="24" t="s">
        <v>3805</v>
      </c>
      <c r="H55" s="27">
        <v>3.5329999999999999</v>
      </c>
      <c r="I55" s="27">
        <v>12101</v>
      </c>
    </row>
    <row r="56" spans="1:9" ht="30" customHeight="1" x14ac:dyDescent="0.2">
      <c r="A56" s="27"/>
      <c r="B56" s="27"/>
      <c r="C56" s="27"/>
      <c r="D56" s="27"/>
      <c r="E56" s="27" t="s">
        <v>3807</v>
      </c>
      <c r="F56" s="24" t="s">
        <v>505</v>
      </c>
      <c r="G56" s="24" t="s">
        <v>3809</v>
      </c>
      <c r="H56" s="27">
        <v>4.2329999999999997</v>
      </c>
      <c r="I56" s="27">
        <v>12247</v>
      </c>
    </row>
    <row r="57" spans="1:9" ht="30" customHeight="1" x14ac:dyDescent="0.2">
      <c r="A57" s="27"/>
      <c r="B57" s="27"/>
      <c r="C57" s="27"/>
      <c r="D57" s="27"/>
      <c r="E57" s="27" t="s">
        <v>3807</v>
      </c>
      <c r="F57" s="24" t="s">
        <v>505</v>
      </c>
      <c r="G57" s="24" t="s">
        <v>3804</v>
      </c>
      <c r="H57" s="27">
        <v>4.3330000000000002</v>
      </c>
      <c r="I57" s="27">
        <v>3908</v>
      </c>
    </row>
    <row r="58" spans="1:9" ht="30" customHeight="1" x14ac:dyDescent="0.2">
      <c r="A58" s="27"/>
      <c r="B58" s="27"/>
      <c r="C58" s="27"/>
      <c r="D58" s="27"/>
      <c r="E58" s="27" t="s">
        <v>3807</v>
      </c>
      <c r="F58" s="24" t="s">
        <v>505</v>
      </c>
      <c r="G58" s="24" t="s">
        <v>3810</v>
      </c>
      <c r="H58" s="27">
        <v>4.9660000000000002</v>
      </c>
      <c r="I58" s="27">
        <v>12247</v>
      </c>
    </row>
    <row r="59" spans="1:9" ht="30" customHeight="1" x14ac:dyDescent="0.2">
      <c r="A59" s="27"/>
      <c r="B59" s="27"/>
      <c r="C59" s="27"/>
      <c r="D59" s="27"/>
      <c r="E59" s="27" t="s">
        <v>3807</v>
      </c>
      <c r="F59" s="24" t="s">
        <v>505</v>
      </c>
      <c r="G59" s="24" t="s">
        <v>3811</v>
      </c>
      <c r="H59" s="27">
        <v>5.3330000000000002</v>
      </c>
      <c r="I59" s="27">
        <v>3908</v>
      </c>
    </row>
    <row r="60" spans="1:9" ht="30" customHeight="1" x14ac:dyDescent="0.2">
      <c r="A60" s="27"/>
      <c r="B60" s="27"/>
      <c r="C60" s="27"/>
      <c r="D60" s="27"/>
      <c r="E60" s="27" t="s">
        <v>3807</v>
      </c>
      <c r="F60" s="24" t="s">
        <v>505</v>
      </c>
      <c r="G60" s="24" t="s">
        <v>3812</v>
      </c>
      <c r="H60" s="27">
        <v>5.6829999999999998</v>
      </c>
      <c r="I60" s="27">
        <v>12247</v>
      </c>
    </row>
    <row r="61" spans="1:9" ht="30" customHeight="1" x14ac:dyDescent="0.2">
      <c r="A61" s="27"/>
      <c r="B61" s="27"/>
      <c r="C61" s="27"/>
      <c r="D61" s="27"/>
      <c r="E61" s="27" t="s">
        <v>3807</v>
      </c>
      <c r="F61" s="24" t="s">
        <v>505</v>
      </c>
      <c r="G61" s="24" t="s">
        <v>3813</v>
      </c>
      <c r="H61" s="27">
        <v>6.133</v>
      </c>
      <c r="I61" s="27">
        <v>3908</v>
      </c>
    </row>
    <row r="62" spans="1:9" ht="30" customHeight="1" x14ac:dyDescent="0.2">
      <c r="A62" s="27"/>
      <c r="B62" s="27"/>
      <c r="C62" s="27"/>
      <c r="D62" s="27"/>
      <c r="E62" s="27" t="s">
        <v>3814</v>
      </c>
      <c r="F62" s="24" t="s">
        <v>501</v>
      </c>
      <c r="G62" s="24"/>
      <c r="H62" s="27"/>
      <c r="I62" s="27"/>
    </row>
    <row r="63" spans="1:9" ht="30" customHeight="1" x14ac:dyDescent="0.2">
      <c r="A63" s="27"/>
      <c r="B63" s="27"/>
      <c r="C63" s="27"/>
      <c r="D63" s="27"/>
      <c r="E63" s="27" t="s">
        <v>3814</v>
      </c>
      <c r="F63" s="24" t="s">
        <v>505</v>
      </c>
      <c r="G63" s="24"/>
      <c r="H63" s="27"/>
      <c r="I63" s="27"/>
    </row>
    <row r="64" spans="1:9" ht="30" customHeight="1" x14ac:dyDescent="0.2">
      <c r="A64" s="27"/>
      <c r="B64" s="27"/>
      <c r="C64" s="27"/>
      <c r="D64" s="27"/>
      <c r="E64" s="27" t="s">
        <v>3815</v>
      </c>
      <c r="F64" s="24" t="s">
        <v>518</v>
      </c>
      <c r="G64" s="24"/>
      <c r="H64" s="27"/>
      <c r="I64" s="27"/>
    </row>
    <row r="65" spans="1:9" ht="30" customHeight="1" x14ac:dyDescent="0.2">
      <c r="A65" s="27"/>
      <c r="B65" s="27"/>
      <c r="C65" s="27"/>
      <c r="D65" s="27"/>
      <c r="E65" s="27" t="s">
        <v>3815</v>
      </c>
      <c r="F65" s="24" t="s">
        <v>521</v>
      </c>
      <c r="G65" s="24"/>
      <c r="H65" s="27"/>
      <c r="I65" s="27"/>
    </row>
    <row r="66" spans="1:9" ht="30" customHeight="1" x14ac:dyDescent="0.2">
      <c r="A66" s="27"/>
      <c r="B66" s="27"/>
      <c r="C66" s="27"/>
      <c r="D66" s="27"/>
      <c r="E66" s="27" t="s">
        <v>517</v>
      </c>
      <c r="F66" s="24" t="s">
        <v>518</v>
      </c>
      <c r="G66" s="24"/>
      <c r="H66" s="27"/>
      <c r="I66" s="27"/>
    </row>
    <row r="67" spans="1:9" ht="30" customHeight="1" x14ac:dyDescent="0.2">
      <c r="A67" s="27"/>
      <c r="B67" s="27"/>
      <c r="C67" s="27"/>
      <c r="D67" s="27"/>
      <c r="E67" s="27" t="s">
        <v>519</v>
      </c>
      <c r="F67" s="24" t="s">
        <v>518</v>
      </c>
      <c r="G67" s="24"/>
      <c r="H67" s="27"/>
      <c r="I67" s="27"/>
    </row>
    <row r="68" spans="1:9" ht="30" customHeight="1" x14ac:dyDescent="0.2">
      <c r="A68" s="27"/>
      <c r="B68" s="27"/>
      <c r="C68" s="27"/>
      <c r="D68" s="27"/>
      <c r="E68" s="27" t="s">
        <v>3816</v>
      </c>
      <c r="F68" s="24" t="s">
        <v>370</v>
      </c>
      <c r="G68" s="24"/>
      <c r="H68" s="27"/>
      <c r="I68" s="27"/>
    </row>
    <row r="69" spans="1:9" ht="30" customHeight="1" x14ac:dyDescent="0.2">
      <c r="A69" s="27"/>
      <c r="B69" s="27"/>
      <c r="C69" s="27"/>
      <c r="D69" s="27"/>
      <c r="E69" s="27" t="s">
        <v>3816</v>
      </c>
      <c r="F69" s="24" t="s">
        <v>503</v>
      </c>
      <c r="G69" s="24"/>
      <c r="H69" s="27"/>
      <c r="I69" s="27"/>
    </row>
    <row r="70" spans="1:9" ht="30" customHeight="1" x14ac:dyDescent="0.2">
      <c r="A70" s="27"/>
      <c r="B70" s="27"/>
      <c r="C70" s="27"/>
      <c r="D70" s="27"/>
      <c r="E70" s="27" t="s">
        <v>3817</v>
      </c>
      <c r="F70" s="24" t="s">
        <v>370</v>
      </c>
      <c r="G70" s="24"/>
      <c r="H70" s="27"/>
      <c r="I70" s="27"/>
    </row>
    <row r="71" spans="1:9" ht="30" customHeight="1" x14ac:dyDescent="0.2">
      <c r="A71" s="27"/>
      <c r="B71" s="27"/>
      <c r="C71" s="27"/>
      <c r="D71" s="27"/>
      <c r="E71" s="27" t="s">
        <v>3817</v>
      </c>
      <c r="F71" s="24" t="s">
        <v>503</v>
      </c>
      <c r="G71" s="24"/>
      <c r="H71" s="27"/>
      <c r="I71" s="27"/>
    </row>
    <row r="72" spans="1:9" ht="30" customHeight="1" x14ac:dyDescent="0.2">
      <c r="A72" s="27"/>
      <c r="B72" s="27"/>
      <c r="C72" s="27"/>
      <c r="D72" s="27"/>
      <c r="E72" s="27" t="s">
        <v>3818</v>
      </c>
      <c r="F72" s="24" t="s">
        <v>379</v>
      </c>
      <c r="G72" s="24"/>
      <c r="H72" s="27"/>
      <c r="I72" s="27"/>
    </row>
    <row r="73" spans="1:9" ht="30" customHeight="1" x14ac:dyDescent="0.2">
      <c r="A73" s="27"/>
      <c r="B73" s="27"/>
      <c r="C73" s="27"/>
      <c r="D73" s="27"/>
      <c r="E73" s="27" t="s">
        <v>3818</v>
      </c>
      <c r="F73" s="24" t="s">
        <v>516</v>
      </c>
      <c r="G73" s="24"/>
      <c r="H73" s="27"/>
      <c r="I73" s="27"/>
    </row>
    <row r="74" spans="1:9" ht="30" customHeight="1" x14ac:dyDescent="0.2">
      <c r="A74" s="27"/>
      <c r="B74" s="27"/>
      <c r="C74" s="27"/>
      <c r="D74" s="27"/>
      <c r="E74" s="27" t="s">
        <v>3819</v>
      </c>
      <c r="F74" s="24" t="s">
        <v>379</v>
      </c>
      <c r="G74" s="24"/>
      <c r="H74" s="27"/>
      <c r="I74" s="27"/>
    </row>
    <row r="75" spans="1:9" ht="30" customHeight="1" x14ac:dyDescent="0.2">
      <c r="A75" s="27"/>
      <c r="B75" s="27"/>
      <c r="C75" s="27"/>
      <c r="D75" s="27"/>
      <c r="E75" s="27" t="s">
        <v>3820</v>
      </c>
      <c r="F75" s="24" t="s">
        <v>379</v>
      </c>
      <c r="G75" s="24"/>
      <c r="H75" s="27"/>
      <c r="I75" s="27"/>
    </row>
    <row r="76" spans="1:9" ht="30" customHeight="1" x14ac:dyDescent="0.2">
      <c r="A76" s="27"/>
      <c r="B76" s="27"/>
      <c r="C76" s="27"/>
      <c r="D76" s="27"/>
      <c r="E76" s="27" t="s">
        <v>3821</v>
      </c>
      <c r="F76" s="24" t="s">
        <v>379</v>
      </c>
      <c r="G76" s="24"/>
      <c r="H76" s="27"/>
      <c r="I76" s="27"/>
    </row>
    <row r="77" spans="1:9" ht="30" customHeight="1" x14ac:dyDescent="0.2">
      <c r="A77" s="27"/>
      <c r="B77" s="27"/>
      <c r="C77" s="27"/>
      <c r="D77" s="27"/>
      <c r="E77" s="27" t="s">
        <v>3821</v>
      </c>
      <c r="F77" s="24" t="s">
        <v>509</v>
      </c>
      <c r="G77" s="24"/>
      <c r="H77" s="27"/>
      <c r="I77" s="27"/>
    </row>
    <row r="78" spans="1:9" ht="30" customHeight="1" x14ac:dyDescent="0.2">
      <c r="A78" s="27"/>
      <c r="B78" s="27"/>
      <c r="C78" s="27"/>
      <c r="D78" s="27"/>
      <c r="E78" s="27" t="s">
        <v>3822</v>
      </c>
      <c r="F78" s="24" t="s">
        <v>379</v>
      </c>
      <c r="G78" s="24"/>
      <c r="H78" s="27"/>
      <c r="I78" s="27"/>
    </row>
    <row r="79" spans="1:9" ht="30" customHeight="1" x14ac:dyDescent="0.2">
      <c r="A79" s="27"/>
      <c r="B79" s="27"/>
      <c r="C79" s="27"/>
      <c r="D79" s="27"/>
      <c r="E79" s="27" t="s">
        <v>3823</v>
      </c>
      <c r="F79" s="24" t="s">
        <v>379</v>
      </c>
      <c r="G79" s="24"/>
      <c r="H79" s="27"/>
      <c r="I79" s="27"/>
    </row>
    <row r="80" spans="1:9" ht="30" customHeight="1" x14ac:dyDescent="0.2">
      <c r="A80" s="27"/>
      <c r="B80" s="27"/>
      <c r="C80" s="27"/>
      <c r="D80" s="27"/>
      <c r="E80" s="27" t="s">
        <v>3823</v>
      </c>
      <c r="F80" s="24" t="s">
        <v>495</v>
      </c>
      <c r="G80" s="24"/>
      <c r="H80" s="27"/>
      <c r="I80" s="27"/>
    </row>
    <row r="81" spans="1:9" ht="30" customHeight="1" x14ac:dyDescent="0.2">
      <c r="A81" s="27"/>
      <c r="B81" s="27"/>
      <c r="C81" s="27"/>
      <c r="D81" s="27"/>
      <c r="E81" s="27" t="s">
        <v>3824</v>
      </c>
      <c r="F81" s="24" t="s">
        <v>497</v>
      </c>
      <c r="G81" s="24"/>
      <c r="H81" s="27"/>
      <c r="I81" s="27"/>
    </row>
    <row r="82" spans="1:9" ht="30" customHeight="1" x14ac:dyDescent="0.2">
      <c r="A82" s="27"/>
      <c r="B82" s="27"/>
      <c r="C82" s="27"/>
      <c r="D82" s="27"/>
      <c r="E82" s="27" t="s">
        <v>3824</v>
      </c>
      <c r="F82" s="24" t="s">
        <v>498</v>
      </c>
      <c r="G82" s="24"/>
      <c r="H82" s="27"/>
      <c r="I82" s="27"/>
    </row>
    <row r="83" spans="1:9" ht="30" customHeight="1" x14ac:dyDescent="0.2">
      <c r="A83" s="27"/>
      <c r="B83" s="27"/>
      <c r="C83" s="27"/>
      <c r="D83" s="27"/>
      <c r="E83" s="27" t="s">
        <v>3825</v>
      </c>
      <c r="F83" s="24" t="s">
        <v>514</v>
      </c>
      <c r="G83" s="24"/>
      <c r="H83" s="27"/>
      <c r="I83" s="27"/>
    </row>
    <row r="84" spans="1:9" ht="30" customHeight="1" x14ac:dyDescent="0.2">
      <c r="A84" s="27"/>
      <c r="B84" s="27"/>
      <c r="C84" s="27"/>
      <c r="D84" s="27"/>
      <c r="E84" s="27" t="s">
        <v>569</v>
      </c>
      <c r="F84" s="24" t="s">
        <v>209</v>
      </c>
      <c r="G84" s="24"/>
      <c r="H84" s="27"/>
      <c r="I84" s="27"/>
    </row>
    <row r="85" spans="1:9" ht="30" customHeight="1" x14ac:dyDescent="0.2">
      <c r="A85" s="27"/>
      <c r="B85" s="27"/>
      <c r="C85" s="27"/>
      <c r="D85" s="27"/>
      <c r="E85" s="27" t="s">
        <v>547</v>
      </c>
      <c r="F85" s="24" t="s">
        <v>548</v>
      </c>
      <c r="G85" s="24"/>
      <c r="H85" s="27"/>
      <c r="I85" s="27"/>
    </row>
    <row r="86" spans="1:9" ht="30" customHeight="1" x14ac:dyDescent="0.2">
      <c r="A86" s="27"/>
      <c r="B86" s="27"/>
      <c r="C86" s="27"/>
      <c r="D86" s="27"/>
      <c r="E86" s="27" t="s">
        <v>568</v>
      </c>
      <c r="F86" s="24" t="s">
        <v>370</v>
      </c>
      <c r="G86" s="24"/>
      <c r="H86" s="27"/>
      <c r="I86" s="27"/>
    </row>
    <row r="87" spans="1:9" ht="30" customHeight="1" x14ac:dyDescent="0.2">
      <c r="A87" s="27"/>
      <c r="B87" s="27"/>
      <c r="C87" s="27"/>
      <c r="D87" s="27"/>
      <c r="E87" s="27" t="s">
        <v>551</v>
      </c>
      <c r="F87" s="24" t="s">
        <v>552</v>
      </c>
      <c r="G87" s="24"/>
      <c r="H87" s="27"/>
      <c r="I87" s="27"/>
    </row>
    <row r="88" spans="1:9" ht="30" customHeight="1" x14ac:dyDescent="0.2">
      <c r="A88" s="27"/>
      <c r="B88" s="27"/>
      <c r="C88" s="27"/>
      <c r="D88" s="27"/>
      <c r="E88" s="27" t="s">
        <v>538</v>
      </c>
      <c r="F88" s="24" t="s">
        <v>370</v>
      </c>
      <c r="G88" s="24"/>
      <c r="H88" s="27"/>
      <c r="I88" s="27"/>
    </row>
    <row r="89" spans="1:9" ht="30" customHeight="1" x14ac:dyDescent="0.2">
      <c r="A89" s="27"/>
      <c r="B89" s="27"/>
      <c r="C89" s="27"/>
      <c r="D89" s="27"/>
      <c r="E89" s="27" t="s">
        <v>538</v>
      </c>
      <c r="F89" s="24" t="s">
        <v>3826</v>
      </c>
      <c r="G89" s="24"/>
      <c r="H89" s="27"/>
      <c r="I89" s="27"/>
    </row>
    <row r="90" spans="1:9" ht="30" customHeight="1" x14ac:dyDescent="0.2">
      <c r="A90" s="27"/>
      <c r="B90" s="27"/>
      <c r="C90" s="27"/>
      <c r="D90" s="27"/>
      <c r="E90" s="27" t="s">
        <v>556</v>
      </c>
      <c r="F90" s="24" t="s">
        <v>3827</v>
      </c>
      <c r="G90" s="24"/>
      <c r="H90" s="27"/>
      <c r="I90" s="27"/>
    </row>
    <row r="91" spans="1:9" ht="30" customHeight="1" x14ac:dyDescent="0.2">
      <c r="A91" s="27"/>
      <c r="B91" s="27"/>
      <c r="C91" s="27"/>
      <c r="D91" s="27"/>
      <c r="E91" s="27" t="s">
        <v>556</v>
      </c>
      <c r="F91" s="24" t="s">
        <v>3828</v>
      </c>
      <c r="G91" s="24"/>
      <c r="H91" s="27"/>
      <c r="I91" s="27"/>
    </row>
    <row r="92" spans="1:9" ht="30" customHeight="1" x14ac:dyDescent="0.2">
      <c r="A92" s="27"/>
      <c r="B92" s="27"/>
      <c r="C92" s="27"/>
      <c r="D92" s="27"/>
      <c r="E92" s="27" t="s">
        <v>540</v>
      </c>
      <c r="F92" s="24" t="s">
        <v>541</v>
      </c>
      <c r="G92" s="24"/>
      <c r="H92" s="27"/>
      <c r="I92" s="27"/>
    </row>
    <row r="93" spans="1:9" ht="30" customHeight="1" x14ac:dyDescent="0.2">
      <c r="A93" s="27"/>
      <c r="B93" s="27"/>
      <c r="C93" s="27"/>
      <c r="D93" s="27"/>
      <c r="E93" s="27" t="s">
        <v>549</v>
      </c>
      <c r="F93" s="24" t="s">
        <v>550</v>
      </c>
      <c r="G93" s="24"/>
      <c r="H93" s="27"/>
      <c r="I93" s="27"/>
    </row>
    <row r="94" spans="1:9" ht="30" customHeight="1" x14ac:dyDescent="0.2">
      <c r="A94" s="27"/>
      <c r="B94" s="27"/>
      <c r="C94" s="27"/>
      <c r="D94" s="27"/>
      <c r="E94" s="27" t="s">
        <v>559</v>
      </c>
      <c r="F94" s="24" t="s">
        <v>545</v>
      </c>
      <c r="G94" s="24"/>
      <c r="H94" s="27"/>
      <c r="I94" s="27"/>
    </row>
    <row r="95" spans="1:9" ht="30" customHeight="1" x14ac:dyDescent="0.2">
      <c r="A95" s="27"/>
      <c r="B95" s="27"/>
      <c r="C95" s="27"/>
      <c r="D95" s="27"/>
      <c r="E95" s="27" t="s">
        <v>544</v>
      </c>
      <c r="F95" s="24" t="s">
        <v>545</v>
      </c>
      <c r="G95" s="24"/>
      <c r="H95" s="27"/>
      <c r="I95" s="27"/>
    </row>
    <row r="96" spans="1:9" ht="30" customHeight="1" x14ac:dyDescent="0.2">
      <c r="A96" s="27"/>
      <c r="B96" s="27"/>
      <c r="C96" s="27"/>
      <c r="D96" s="27"/>
      <c r="E96" s="27" t="s">
        <v>564</v>
      </c>
      <c r="F96" s="24" t="s">
        <v>565</v>
      </c>
      <c r="G96" s="24"/>
      <c r="H96" s="27"/>
      <c r="I96" s="27"/>
    </row>
    <row r="97" spans="1:9" ht="30" customHeight="1" x14ac:dyDescent="0.2">
      <c r="A97" s="27"/>
      <c r="B97" s="27"/>
      <c r="C97" s="27"/>
      <c r="D97" s="27"/>
      <c r="E97" s="27" t="s">
        <v>564</v>
      </c>
      <c r="F97" s="24" t="s">
        <v>552</v>
      </c>
      <c r="G97" s="24"/>
      <c r="H97" s="27"/>
      <c r="I97" s="27"/>
    </row>
    <row r="98" spans="1:9" ht="30" customHeight="1" x14ac:dyDescent="0.2">
      <c r="A98" s="27"/>
      <c r="B98" s="27"/>
      <c r="C98" s="27"/>
      <c r="D98" s="27"/>
      <c r="E98" s="27" t="s">
        <v>561</v>
      </c>
      <c r="F98" s="24" t="s">
        <v>370</v>
      </c>
      <c r="G98" s="24"/>
      <c r="H98" s="27"/>
      <c r="I98" s="27"/>
    </row>
    <row r="99" spans="1:9" ht="30" customHeight="1" x14ac:dyDescent="0.2">
      <c r="A99" s="27"/>
      <c r="B99" s="27"/>
      <c r="C99" s="27"/>
      <c r="D99" s="27"/>
      <c r="E99" s="27" t="s">
        <v>562</v>
      </c>
      <c r="F99" s="24" t="s">
        <v>370</v>
      </c>
      <c r="G99" s="24"/>
      <c r="H99" s="27"/>
      <c r="I99" s="27"/>
    </row>
    <row r="100" spans="1:9" ht="30" customHeight="1" x14ac:dyDescent="0.2">
      <c r="A100" s="27"/>
      <c r="B100" s="27"/>
      <c r="C100" s="27"/>
      <c r="D100" s="27"/>
      <c r="E100" s="27" t="s">
        <v>563</v>
      </c>
      <c r="F100" s="24" t="s">
        <v>370</v>
      </c>
      <c r="G100" s="24"/>
      <c r="H100" s="27"/>
      <c r="I100" s="27"/>
    </row>
    <row r="101" spans="1:9" ht="30" customHeight="1" x14ac:dyDescent="0.2">
      <c r="A101" s="27"/>
      <c r="B101" s="27"/>
      <c r="C101" s="27"/>
      <c r="D101" s="27"/>
      <c r="E101" s="27" t="s">
        <v>570</v>
      </c>
      <c r="F101" s="24" t="s">
        <v>571</v>
      </c>
      <c r="G101" s="24"/>
      <c r="H101" s="27"/>
      <c r="I101" s="27"/>
    </row>
    <row r="102" spans="1:9" ht="30" customHeight="1" x14ac:dyDescent="0.2">
      <c r="A102" s="27"/>
      <c r="B102" s="27"/>
      <c r="C102" s="27"/>
      <c r="D102" s="27"/>
      <c r="E102" s="27" t="s">
        <v>553</v>
      </c>
      <c r="F102" s="24" t="s">
        <v>554</v>
      </c>
      <c r="G102" s="24"/>
      <c r="H102" s="27"/>
      <c r="I102" s="27"/>
    </row>
    <row r="103" spans="1:9" ht="30" customHeight="1" x14ac:dyDescent="0.2">
      <c r="A103" s="27"/>
      <c r="B103" s="27"/>
      <c r="C103" s="27"/>
      <c r="D103" s="27"/>
      <c r="E103" s="27" t="s">
        <v>553</v>
      </c>
      <c r="F103" s="24" t="s">
        <v>555</v>
      </c>
      <c r="G103" s="24"/>
      <c r="H103" s="27"/>
      <c r="I103" s="27"/>
    </row>
    <row r="104" spans="1:9" ht="30" customHeight="1" x14ac:dyDescent="0.2">
      <c r="A104" s="27"/>
      <c r="B104" s="27"/>
      <c r="C104" s="27"/>
      <c r="D104" s="27"/>
      <c r="E104" s="27" t="s">
        <v>566</v>
      </c>
      <c r="F104" s="24" t="s">
        <v>370</v>
      </c>
      <c r="G104" s="24"/>
      <c r="H104" s="27"/>
      <c r="I104" s="27"/>
    </row>
    <row r="105" spans="1:9" ht="30" customHeight="1" x14ac:dyDescent="0.2">
      <c r="A105" s="27"/>
      <c r="B105" s="27"/>
      <c r="C105" s="27"/>
      <c r="D105" s="27"/>
      <c r="E105" s="27" t="s">
        <v>542</v>
      </c>
      <c r="F105" s="24" t="s">
        <v>3829</v>
      </c>
      <c r="G105" s="24"/>
      <c r="H105" s="27"/>
      <c r="I105" s="27"/>
    </row>
    <row r="106" spans="1:9" ht="30" customHeight="1" x14ac:dyDescent="0.2">
      <c r="A106" s="27"/>
      <c r="B106" s="27"/>
      <c r="C106" s="27"/>
      <c r="D106" s="27"/>
      <c r="E106" s="27" t="s">
        <v>560</v>
      </c>
      <c r="F106" s="24" t="s">
        <v>514</v>
      </c>
      <c r="G106" s="24"/>
      <c r="H106" s="27"/>
      <c r="I106" s="27"/>
    </row>
    <row r="107" spans="1:9" ht="30" customHeight="1" x14ac:dyDescent="0.2">
      <c r="A107" s="27"/>
      <c r="B107" s="27"/>
      <c r="C107" s="27"/>
      <c r="D107" s="27"/>
      <c r="E107" s="27" t="s">
        <v>567</v>
      </c>
      <c r="F107" s="24" t="s">
        <v>552</v>
      </c>
      <c r="G107" s="24"/>
      <c r="H107" s="27"/>
      <c r="I107" s="27"/>
    </row>
    <row r="108" spans="1:9" ht="30" customHeight="1" x14ac:dyDescent="0.2">
      <c r="A108" s="27"/>
      <c r="B108" s="27"/>
      <c r="C108" s="27"/>
      <c r="D108" s="27"/>
      <c r="E108" s="27" t="s">
        <v>352</v>
      </c>
      <c r="F108" s="24" t="s">
        <v>399</v>
      </c>
      <c r="G108" s="24" t="s">
        <v>3534</v>
      </c>
      <c r="H108" s="27">
        <v>0.316</v>
      </c>
      <c r="I108" s="27">
        <v>997</v>
      </c>
    </row>
    <row r="109" spans="1:9" ht="30" customHeight="1" x14ac:dyDescent="0.2">
      <c r="A109" s="27"/>
      <c r="B109" s="27"/>
      <c r="C109" s="27"/>
      <c r="D109" s="27"/>
      <c r="E109" s="27" t="s">
        <v>352</v>
      </c>
      <c r="F109" s="24" t="s">
        <v>399</v>
      </c>
      <c r="G109" s="24" t="s">
        <v>3797</v>
      </c>
      <c r="H109" s="27">
        <v>1.1160000000000001</v>
      </c>
      <c r="I109" s="27">
        <v>5106</v>
      </c>
    </row>
    <row r="110" spans="1:9" ht="30" customHeight="1" x14ac:dyDescent="0.2">
      <c r="A110" s="27"/>
      <c r="B110" s="27"/>
      <c r="C110" s="27"/>
      <c r="D110" s="27"/>
      <c r="E110" s="27" t="s">
        <v>352</v>
      </c>
      <c r="F110" s="24" t="s">
        <v>399</v>
      </c>
      <c r="G110" s="24" t="s">
        <v>3799</v>
      </c>
      <c r="H110" s="27">
        <v>1.7</v>
      </c>
      <c r="I110" s="27">
        <v>5106</v>
      </c>
    </row>
    <row r="111" spans="1:9" ht="30" customHeight="1" x14ac:dyDescent="0.2">
      <c r="A111" s="27"/>
      <c r="B111" s="27"/>
      <c r="C111" s="27"/>
      <c r="D111" s="27"/>
      <c r="E111" s="27" t="s">
        <v>352</v>
      </c>
      <c r="F111" s="24" t="s">
        <v>399</v>
      </c>
      <c r="G111" s="24" t="s">
        <v>3801</v>
      </c>
      <c r="H111" s="27">
        <v>2.25</v>
      </c>
      <c r="I111" s="27">
        <v>5106</v>
      </c>
    </row>
    <row r="112" spans="1:9" ht="30" customHeight="1" x14ac:dyDescent="0.2">
      <c r="A112" s="27"/>
      <c r="B112" s="27"/>
      <c r="C112" s="27"/>
      <c r="D112" s="27"/>
      <c r="E112" s="27" t="s">
        <v>352</v>
      </c>
      <c r="F112" s="24" t="s">
        <v>399</v>
      </c>
      <c r="G112" s="24" t="s">
        <v>3803</v>
      </c>
      <c r="H112" s="27">
        <v>2.8159999999999998</v>
      </c>
      <c r="I112" s="27">
        <v>5106</v>
      </c>
    </row>
    <row r="113" spans="1:9" ht="30" customHeight="1" x14ac:dyDescent="0.2">
      <c r="A113" s="27"/>
      <c r="B113" s="27"/>
      <c r="C113" s="27"/>
      <c r="D113" s="27"/>
      <c r="E113" s="27" t="s">
        <v>352</v>
      </c>
      <c r="F113" s="24" t="s">
        <v>399</v>
      </c>
      <c r="G113" s="24" t="s">
        <v>3805</v>
      </c>
      <c r="H113" s="27">
        <v>3.383</v>
      </c>
      <c r="I113" s="27">
        <v>5106</v>
      </c>
    </row>
    <row r="114" spans="1:9" ht="30" customHeight="1" x14ac:dyDescent="0.2">
      <c r="A114" s="27"/>
      <c r="B114" s="27"/>
      <c r="C114" s="27"/>
      <c r="D114" s="27"/>
      <c r="E114" s="27" t="s">
        <v>352</v>
      </c>
      <c r="F114" s="24" t="s">
        <v>399</v>
      </c>
      <c r="G114" s="24" t="s">
        <v>3809</v>
      </c>
      <c r="H114" s="27">
        <v>3.95</v>
      </c>
      <c r="I114" s="27">
        <v>5106</v>
      </c>
    </row>
    <row r="115" spans="1:9" ht="30" customHeight="1" x14ac:dyDescent="0.2">
      <c r="A115" s="27"/>
      <c r="B115" s="27"/>
      <c r="C115" s="27"/>
      <c r="D115" s="27"/>
      <c r="E115" s="27" t="s">
        <v>352</v>
      </c>
      <c r="F115" s="24" t="s">
        <v>399</v>
      </c>
      <c r="G115" s="24" t="s">
        <v>3810</v>
      </c>
      <c r="H115" s="27">
        <v>4.516</v>
      </c>
      <c r="I115" s="27">
        <v>5106</v>
      </c>
    </row>
    <row r="116" spans="1:9" ht="30" customHeight="1" x14ac:dyDescent="0.2">
      <c r="A116" s="27"/>
      <c r="B116" s="27"/>
      <c r="C116" s="27"/>
      <c r="D116" s="27"/>
      <c r="E116" s="27" t="s">
        <v>352</v>
      </c>
      <c r="F116" s="24" t="s">
        <v>399</v>
      </c>
      <c r="G116" s="24" t="s">
        <v>3812</v>
      </c>
      <c r="H116" s="27">
        <v>5.0830000000000002</v>
      </c>
      <c r="I116" s="27">
        <v>5106</v>
      </c>
    </row>
    <row r="117" spans="1:9" ht="30" customHeight="1" x14ac:dyDescent="0.2">
      <c r="A117" s="27"/>
      <c r="B117" s="27"/>
      <c r="C117" s="27"/>
      <c r="D117" s="27"/>
      <c r="E117" s="27" t="s">
        <v>352</v>
      </c>
      <c r="F117" s="24" t="s">
        <v>399</v>
      </c>
      <c r="G117" s="24" t="s">
        <v>3830</v>
      </c>
      <c r="H117" s="27">
        <v>5.65</v>
      </c>
      <c r="I117" s="27">
        <v>5106</v>
      </c>
    </row>
    <row r="118" spans="1:9" ht="30" customHeight="1" x14ac:dyDescent="0.2">
      <c r="A118" s="27"/>
      <c r="B118" s="27"/>
      <c r="C118" s="27"/>
      <c r="D118" s="27"/>
      <c r="E118" s="27" t="s">
        <v>352</v>
      </c>
      <c r="F118" s="24" t="s">
        <v>399</v>
      </c>
      <c r="G118" s="24" t="s">
        <v>3831</v>
      </c>
      <c r="H118" s="27">
        <v>6.2160000000000002</v>
      </c>
      <c r="I118" s="27">
        <v>5106</v>
      </c>
    </row>
    <row r="119" spans="1:9" ht="30" customHeight="1" x14ac:dyDescent="0.2">
      <c r="A119" s="27"/>
      <c r="B119" s="27"/>
      <c r="C119" s="27"/>
      <c r="D119" s="27"/>
      <c r="E119" s="27" t="s">
        <v>352</v>
      </c>
      <c r="F119" s="24" t="s">
        <v>399</v>
      </c>
      <c r="G119" s="24" t="s">
        <v>3832</v>
      </c>
      <c r="H119" s="27">
        <v>6.766</v>
      </c>
      <c r="I119" s="27">
        <v>5106</v>
      </c>
    </row>
    <row r="120" spans="1:9" ht="30" customHeight="1" x14ac:dyDescent="0.2">
      <c r="A120" s="27"/>
      <c r="B120" s="27"/>
      <c r="C120" s="27"/>
      <c r="D120" s="27"/>
      <c r="E120" s="27" t="s">
        <v>352</v>
      </c>
      <c r="F120" s="24" t="s">
        <v>399</v>
      </c>
      <c r="G120" s="24" t="s">
        <v>3833</v>
      </c>
      <c r="H120" s="27">
        <v>7.35</v>
      </c>
      <c r="I120" s="27">
        <v>5106</v>
      </c>
    </row>
    <row r="121" spans="1:9" ht="30" customHeight="1" x14ac:dyDescent="0.2">
      <c r="A121" s="27"/>
      <c r="B121" s="27"/>
      <c r="C121" s="27"/>
      <c r="D121" s="27"/>
      <c r="E121" s="27" t="s">
        <v>352</v>
      </c>
      <c r="F121" s="24" t="s">
        <v>399</v>
      </c>
      <c r="G121" s="24" t="s">
        <v>3834</v>
      </c>
      <c r="H121" s="27">
        <v>7.9160000000000004</v>
      </c>
      <c r="I121" s="27">
        <v>5106</v>
      </c>
    </row>
    <row r="122" spans="1:9" ht="30" customHeight="1" x14ac:dyDescent="0.2">
      <c r="A122" s="27"/>
      <c r="B122" s="27"/>
      <c r="C122" s="27"/>
      <c r="D122" s="27"/>
      <c r="E122" s="27" t="s">
        <v>352</v>
      </c>
      <c r="F122" s="24" t="s">
        <v>399</v>
      </c>
      <c r="G122" s="24" t="s">
        <v>3835</v>
      </c>
      <c r="H122" s="27">
        <v>8.4830000000000005</v>
      </c>
      <c r="I122" s="27">
        <v>5106</v>
      </c>
    </row>
    <row r="123" spans="1:9" ht="30" customHeight="1" x14ac:dyDescent="0.2">
      <c r="A123" s="27"/>
      <c r="B123" s="27"/>
      <c r="C123" s="27"/>
      <c r="D123" s="27"/>
      <c r="E123" s="27" t="s">
        <v>352</v>
      </c>
      <c r="F123" s="24" t="s">
        <v>399</v>
      </c>
      <c r="G123" s="24" t="s">
        <v>3836</v>
      </c>
      <c r="H123" s="27">
        <v>9.0500000000000007</v>
      </c>
      <c r="I123" s="27">
        <v>5106</v>
      </c>
    </row>
    <row r="124" spans="1:9" ht="30" customHeight="1" x14ac:dyDescent="0.2">
      <c r="A124" s="27"/>
      <c r="B124" s="27"/>
      <c r="C124" s="27"/>
      <c r="D124" s="27"/>
      <c r="E124" s="27" t="s">
        <v>352</v>
      </c>
      <c r="F124" s="24" t="s">
        <v>399</v>
      </c>
      <c r="G124" s="24" t="s">
        <v>3837</v>
      </c>
      <c r="H124" s="27">
        <v>9.6159999999999997</v>
      </c>
      <c r="I124" s="27">
        <v>5106</v>
      </c>
    </row>
    <row r="125" spans="1:9" ht="30" customHeight="1" x14ac:dyDescent="0.2">
      <c r="A125" s="27"/>
      <c r="B125" s="27"/>
      <c r="C125" s="27"/>
      <c r="D125" s="27"/>
      <c r="E125" s="27" t="s">
        <v>352</v>
      </c>
      <c r="F125" s="24" t="s">
        <v>399</v>
      </c>
      <c r="G125" s="24" t="s">
        <v>3838</v>
      </c>
      <c r="H125" s="27">
        <v>10.166</v>
      </c>
      <c r="I125" s="27">
        <v>5106</v>
      </c>
    </row>
    <row r="126" spans="1:9" ht="30" customHeight="1" x14ac:dyDescent="0.2">
      <c r="A126" s="27"/>
      <c r="B126" s="27"/>
      <c r="C126" s="27"/>
      <c r="D126" s="27"/>
      <c r="E126" s="27" t="s">
        <v>352</v>
      </c>
      <c r="F126" s="24" t="s">
        <v>400</v>
      </c>
      <c r="G126" s="24" t="s">
        <v>3534</v>
      </c>
      <c r="H126" s="27">
        <v>0.33300000000000002</v>
      </c>
      <c r="I126" s="27">
        <v>5103</v>
      </c>
    </row>
    <row r="127" spans="1:9" ht="30" customHeight="1" x14ac:dyDescent="0.2">
      <c r="A127" s="27"/>
      <c r="B127" s="27"/>
      <c r="C127" s="27"/>
      <c r="D127" s="27"/>
      <c r="E127" s="27" t="s">
        <v>352</v>
      </c>
      <c r="F127" s="24" t="s">
        <v>400</v>
      </c>
      <c r="G127" s="24" t="s">
        <v>3797</v>
      </c>
      <c r="H127" s="27">
        <v>1.333</v>
      </c>
      <c r="I127" s="27">
        <v>2553</v>
      </c>
    </row>
    <row r="128" spans="1:9" ht="30" customHeight="1" x14ac:dyDescent="0.2">
      <c r="A128" s="27"/>
      <c r="B128" s="27"/>
      <c r="C128" s="27"/>
      <c r="D128" s="27"/>
      <c r="E128" s="27" t="s">
        <v>352</v>
      </c>
      <c r="F128" s="24" t="s">
        <v>400</v>
      </c>
      <c r="G128" s="24" t="s">
        <v>3799</v>
      </c>
      <c r="H128" s="27">
        <v>1.6</v>
      </c>
      <c r="I128" s="27">
        <v>2553</v>
      </c>
    </row>
    <row r="129" spans="1:9" ht="30" customHeight="1" x14ac:dyDescent="0.2">
      <c r="A129" s="27"/>
      <c r="B129" s="27"/>
      <c r="C129" s="27"/>
      <c r="D129" s="27"/>
      <c r="E129" s="27" t="s">
        <v>352</v>
      </c>
      <c r="F129" s="24" t="s">
        <v>400</v>
      </c>
      <c r="G129" s="24" t="s">
        <v>3801</v>
      </c>
      <c r="H129" s="27">
        <v>1.8660000000000001</v>
      </c>
      <c r="I129" s="27">
        <v>2553</v>
      </c>
    </row>
    <row r="130" spans="1:9" ht="30" customHeight="1" x14ac:dyDescent="0.2">
      <c r="A130" s="27"/>
      <c r="B130" s="27"/>
      <c r="C130" s="27"/>
      <c r="D130" s="27"/>
      <c r="E130" s="27" t="s">
        <v>352</v>
      </c>
      <c r="F130" s="24" t="s">
        <v>400</v>
      </c>
      <c r="G130" s="24" t="s">
        <v>3803</v>
      </c>
      <c r="H130" s="27">
        <v>2.15</v>
      </c>
      <c r="I130" s="27">
        <v>2553</v>
      </c>
    </row>
    <row r="131" spans="1:9" ht="30" customHeight="1" x14ac:dyDescent="0.2">
      <c r="A131" s="27"/>
      <c r="B131" s="27"/>
      <c r="C131" s="27"/>
      <c r="D131" s="27"/>
      <c r="E131" s="27" t="s">
        <v>352</v>
      </c>
      <c r="F131" s="24" t="s">
        <v>400</v>
      </c>
      <c r="G131" s="24" t="s">
        <v>3805</v>
      </c>
      <c r="H131" s="27">
        <v>2.4</v>
      </c>
      <c r="I131" s="27">
        <v>2553</v>
      </c>
    </row>
    <row r="132" spans="1:9" ht="30" customHeight="1" x14ac:dyDescent="0.2">
      <c r="A132" s="27"/>
      <c r="B132" s="27"/>
      <c r="C132" s="27"/>
      <c r="D132" s="27"/>
      <c r="E132" s="27" t="s">
        <v>352</v>
      </c>
      <c r="F132" s="24" t="s">
        <v>400</v>
      </c>
      <c r="G132" s="24" t="s">
        <v>3809</v>
      </c>
      <c r="H132" s="27">
        <v>2.6829999999999998</v>
      </c>
      <c r="I132" s="27">
        <v>2553</v>
      </c>
    </row>
    <row r="133" spans="1:9" ht="30" customHeight="1" x14ac:dyDescent="0.2">
      <c r="A133" s="27"/>
      <c r="B133" s="27"/>
      <c r="C133" s="27"/>
      <c r="D133" s="27"/>
      <c r="E133" s="27" t="s">
        <v>352</v>
      </c>
      <c r="F133" s="24" t="s">
        <v>400</v>
      </c>
      <c r="G133" s="24" t="s">
        <v>3810</v>
      </c>
      <c r="H133" s="27">
        <v>2.95</v>
      </c>
      <c r="I133" s="27">
        <v>2553</v>
      </c>
    </row>
    <row r="134" spans="1:9" ht="30" customHeight="1" x14ac:dyDescent="0.2">
      <c r="A134" s="27"/>
      <c r="B134" s="27"/>
      <c r="C134" s="27"/>
      <c r="D134" s="27"/>
      <c r="E134" s="27" t="s">
        <v>352</v>
      </c>
      <c r="F134" s="24" t="s">
        <v>400</v>
      </c>
      <c r="G134" s="24" t="s">
        <v>3812</v>
      </c>
      <c r="H134" s="27">
        <v>3.2160000000000002</v>
      </c>
      <c r="I134" s="27">
        <v>2553</v>
      </c>
    </row>
    <row r="135" spans="1:9" ht="30" customHeight="1" x14ac:dyDescent="0.2">
      <c r="A135" s="27"/>
      <c r="B135" s="27"/>
      <c r="C135" s="27"/>
      <c r="D135" s="27"/>
      <c r="E135" s="27" t="s">
        <v>352</v>
      </c>
      <c r="F135" s="24" t="s">
        <v>400</v>
      </c>
      <c r="G135" s="24" t="s">
        <v>3830</v>
      </c>
      <c r="H135" s="27">
        <v>3.4830000000000001</v>
      </c>
      <c r="I135" s="27">
        <v>2553</v>
      </c>
    </row>
    <row r="136" spans="1:9" ht="30" customHeight="1" x14ac:dyDescent="0.2">
      <c r="A136" s="27"/>
      <c r="B136" s="27"/>
      <c r="C136" s="27"/>
      <c r="D136" s="27"/>
      <c r="E136" s="27" t="s">
        <v>352</v>
      </c>
      <c r="F136" s="24" t="s">
        <v>400</v>
      </c>
      <c r="G136" s="24" t="s">
        <v>3831</v>
      </c>
      <c r="H136" s="27">
        <v>3.75</v>
      </c>
      <c r="I136" s="27">
        <v>2553</v>
      </c>
    </row>
    <row r="137" spans="1:9" ht="30" customHeight="1" x14ac:dyDescent="0.2">
      <c r="A137" s="27"/>
      <c r="B137" s="27"/>
      <c r="C137" s="27"/>
      <c r="D137" s="27"/>
      <c r="E137" s="27" t="s">
        <v>352</v>
      </c>
      <c r="F137" s="24" t="s">
        <v>400</v>
      </c>
      <c r="G137" s="24" t="s">
        <v>3832</v>
      </c>
      <c r="H137" s="27">
        <v>4.016</v>
      </c>
      <c r="I137" s="27">
        <v>2553</v>
      </c>
    </row>
    <row r="138" spans="1:9" ht="30" customHeight="1" x14ac:dyDescent="0.2">
      <c r="A138" s="27"/>
      <c r="B138" s="27"/>
      <c r="C138" s="27"/>
      <c r="D138" s="27"/>
      <c r="E138" s="27" t="s">
        <v>352</v>
      </c>
      <c r="F138" s="24" t="s">
        <v>400</v>
      </c>
      <c r="G138" s="24" t="s">
        <v>3833</v>
      </c>
      <c r="H138" s="27">
        <v>4.3</v>
      </c>
      <c r="I138" s="27">
        <v>2553</v>
      </c>
    </row>
    <row r="139" spans="1:9" ht="30" customHeight="1" x14ac:dyDescent="0.2">
      <c r="A139" s="27"/>
      <c r="B139" s="27"/>
      <c r="C139" s="27"/>
      <c r="D139" s="27"/>
      <c r="E139" s="27" t="s">
        <v>352</v>
      </c>
      <c r="F139" s="24" t="s">
        <v>400</v>
      </c>
      <c r="G139" s="24" t="s">
        <v>3834</v>
      </c>
      <c r="H139" s="27">
        <v>4.5659999999999998</v>
      </c>
      <c r="I139" s="27">
        <v>2553</v>
      </c>
    </row>
    <row r="140" spans="1:9" ht="30" customHeight="1" x14ac:dyDescent="0.2">
      <c r="A140" s="27"/>
      <c r="B140" s="27"/>
      <c r="C140" s="27"/>
      <c r="D140" s="27"/>
      <c r="E140" s="27" t="s">
        <v>352</v>
      </c>
      <c r="F140" s="24" t="s">
        <v>400</v>
      </c>
      <c r="G140" s="24" t="s">
        <v>3835</v>
      </c>
      <c r="H140" s="27">
        <v>4.8330000000000002</v>
      </c>
      <c r="I140" s="27">
        <v>2553</v>
      </c>
    </row>
    <row r="141" spans="1:9" ht="30" customHeight="1" x14ac:dyDescent="0.2">
      <c r="A141" s="27"/>
      <c r="B141" s="27"/>
      <c r="C141" s="27"/>
      <c r="D141" s="27"/>
      <c r="E141" s="27" t="s">
        <v>352</v>
      </c>
      <c r="F141" s="24" t="s">
        <v>400</v>
      </c>
      <c r="G141" s="24" t="s">
        <v>3836</v>
      </c>
      <c r="H141" s="27">
        <v>5.0659999999999998</v>
      </c>
      <c r="I141" s="27">
        <v>2245</v>
      </c>
    </row>
  </sheetData>
  <conditionalFormatting sqref="A1:I141">
    <cfRule type="containsText" dxfId="0" priority="1" operator="containsText" text="!">
      <formula>NOT(ISERROR(SEARCH(("!"),(A1))))</formula>
    </cfRule>
  </conditionalFormatting>
  <pageMargins left="0.7" right="0.7" top="0.75" bottom="0.75" header="0.3" footer="0.3"/>
  <drawing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0000"/>
    <outlinePr summaryBelow="0" summaryRight="0"/>
  </sheetPr>
  <dimension ref="A1:C32"/>
  <sheetViews>
    <sheetView workbookViewId="0"/>
  </sheetViews>
  <sheetFormatPr defaultColWidth="12.5703125" defaultRowHeight="15.75" customHeight="1" x14ac:dyDescent="0.2"/>
  <cols>
    <col min="1" max="1" width="16.28515625" customWidth="1"/>
    <col min="2" max="2" width="25" customWidth="1"/>
    <col min="3" max="3" width="76.140625" customWidth="1"/>
  </cols>
  <sheetData>
    <row r="1" spans="1:3" ht="36.75" customHeight="1" x14ac:dyDescent="0.2">
      <c r="A1" s="163" t="s">
        <v>95</v>
      </c>
      <c r="B1" s="158"/>
      <c r="C1" s="158"/>
    </row>
    <row r="2" spans="1:3" ht="89.25" x14ac:dyDescent="0.2">
      <c r="A2" s="14" t="s">
        <v>96</v>
      </c>
      <c r="B2" s="15" t="s">
        <v>97</v>
      </c>
      <c r="C2" s="16" t="s">
        <v>98</v>
      </c>
    </row>
    <row r="3" spans="1:3" ht="63.75" x14ac:dyDescent="0.2">
      <c r="A3" s="17" t="s">
        <v>99</v>
      </c>
      <c r="B3" s="18" t="s">
        <v>100</v>
      </c>
      <c r="C3" s="19" t="s">
        <v>101</v>
      </c>
    </row>
    <row r="4" spans="1:3" ht="127.5" x14ac:dyDescent="0.2">
      <c r="A4" s="14" t="s">
        <v>102</v>
      </c>
      <c r="B4" s="15" t="s">
        <v>103</v>
      </c>
      <c r="C4" s="20" t="s">
        <v>104</v>
      </c>
    </row>
    <row r="5" spans="1:3" ht="76.5" x14ac:dyDescent="0.2">
      <c r="A5" s="17" t="s">
        <v>105</v>
      </c>
      <c r="B5" s="18" t="s">
        <v>106</v>
      </c>
      <c r="C5" s="21" t="s">
        <v>107</v>
      </c>
    </row>
    <row r="6" spans="1:3" ht="38.25" x14ac:dyDescent="0.2">
      <c r="A6" s="14" t="s">
        <v>108</v>
      </c>
      <c r="B6" s="15" t="s">
        <v>109</v>
      </c>
      <c r="C6" s="20" t="s">
        <v>110</v>
      </c>
    </row>
    <row r="7" spans="1:3" ht="51" x14ac:dyDescent="0.2">
      <c r="A7" s="17" t="s">
        <v>111</v>
      </c>
      <c r="B7" s="18" t="s">
        <v>112</v>
      </c>
      <c r="C7" s="21" t="s">
        <v>113</v>
      </c>
    </row>
    <row r="8" spans="1:3" ht="38.25" x14ac:dyDescent="0.2">
      <c r="A8" s="14" t="s">
        <v>114</v>
      </c>
      <c r="B8" s="15" t="s">
        <v>115</v>
      </c>
      <c r="C8" s="16" t="s">
        <v>116</v>
      </c>
    </row>
    <row r="9" spans="1:3" ht="63.75" x14ac:dyDescent="0.2">
      <c r="A9" s="17" t="s">
        <v>117</v>
      </c>
      <c r="B9" s="18" t="s">
        <v>118</v>
      </c>
      <c r="C9" s="21" t="s">
        <v>119</v>
      </c>
    </row>
    <row r="10" spans="1:3" ht="51" x14ac:dyDescent="0.2">
      <c r="A10" s="14" t="s">
        <v>120</v>
      </c>
      <c r="B10" s="15" t="s">
        <v>121</v>
      </c>
      <c r="C10" s="16" t="s">
        <v>122</v>
      </c>
    </row>
    <row r="11" spans="1:3" ht="255" x14ac:dyDescent="0.2">
      <c r="A11" s="17" t="s">
        <v>123</v>
      </c>
      <c r="B11" s="18" t="s">
        <v>124</v>
      </c>
      <c r="C11" s="21" t="s">
        <v>125</v>
      </c>
    </row>
    <row r="12" spans="1:3" ht="63.75" x14ac:dyDescent="0.2">
      <c r="A12" s="14" t="s">
        <v>126</v>
      </c>
      <c r="B12" s="15" t="s">
        <v>127</v>
      </c>
      <c r="C12" s="16" t="s">
        <v>128</v>
      </c>
    </row>
    <row r="13" spans="1:3" ht="63.75" x14ac:dyDescent="0.2">
      <c r="A13" s="17" t="s">
        <v>129</v>
      </c>
      <c r="B13" s="18" t="s">
        <v>130</v>
      </c>
      <c r="C13" s="21" t="s">
        <v>131</v>
      </c>
    </row>
    <row r="14" spans="1:3" ht="30" x14ac:dyDescent="0.2">
      <c r="A14" s="14" t="s">
        <v>132</v>
      </c>
      <c r="B14" s="15" t="s">
        <v>133</v>
      </c>
      <c r="C14" s="16" t="s">
        <v>134</v>
      </c>
    </row>
    <row r="15" spans="1:3" ht="38.25" x14ac:dyDescent="0.2">
      <c r="A15" s="17" t="s">
        <v>135</v>
      </c>
      <c r="B15" s="18" t="s">
        <v>136</v>
      </c>
      <c r="C15" s="21" t="s">
        <v>137</v>
      </c>
    </row>
    <row r="16" spans="1:3" ht="38.25" x14ac:dyDescent="0.2">
      <c r="A16" s="14" t="s">
        <v>138</v>
      </c>
      <c r="B16" s="15" t="s">
        <v>139</v>
      </c>
      <c r="C16" s="16" t="s">
        <v>140</v>
      </c>
    </row>
    <row r="17" spans="1:3" ht="63.75" x14ac:dyDescent="0.2">
      <c r="A17" s="17" t="s">
        <v>141</v>
      </c>
      <c r="B17" s="18" t="s">
        <v>142</v>
      </c>
      <c r="C17" s="21" t="s">
        <v>143</v>
      </c>
    </row>
    <row r="18" spans="1:3" ht="45" x14ac:dyDescent="0.2">
      <c r="A18" s="14" t="s">
        <v>144</v>
      </c>
      <c r="B18" s="15" t="s">
        <v>145</v>
      </c>
      <c r="C18" s="16" t="s">
        <v>146</v>
      </c>
    </row>
    <row r="19" spans="1:3" ht="38.25" x14ac:dyDescent="0.2">
      <c r="A19" s="17" t="s">
        <v>147</v>
      </c>
      <c r="B19" s="18" t="s">
        <v>148</v>
      </c>
      <c r="C19" s="21" t="s">
        <v>149</v>
      </c>
    </row>
    <row r="20" spans="1:3" ht="38.25" x14ac:dyDescent="0.2">
      <c r="A20" s="14" t="s">
        <v>150</v>
      </c>
      <c r="B20" s="15" t="s">
        <v>151</v>
      </c>
      <c r="C20" s="20" t="s">
        <v>152</v>
      </c>
    </row>
    <row r="21" spans="1:3" ht="89.25" x14ac:dyDescent="0.2">
      <c r="A21" s="17" t="s">
        <v>153</v>
      </c>
      <c r="B21" s="18" t="s">
        <v>154</v>
      </c>
      <c r="C21" s="21" t="s">
        <v>155</v>
      </c>
    </row>
    <row r="22" spans="1:3" ht="63.75" x14ac:dyDescent="0.2">
      <c r="A22" s="14" t="s">
        <v>156</v>
      </c>
      <c r="B22" s="15" t="s">
        <v>157</v>
      </c>
      <c r="C22" s="5" t="s">
        <v>158</v>
      </c>
    </row>
    <row r="23" spans="1:3" ht="45" x14ac:dyDescent="0.2">
      <c r="A23" s="17" t="s">
        <v>159</v>
      </c>
      <c r="B23" s="18" t="s">
        <v>160</v>
      </c>
      <c r="C23" s="7" t="s">
        <v>161</v>
      </c>
    </row>
    <row r="24" spans="1:3" ht="45" x14ac:dyDescent="0.2">
      <c r="A24" s="14" t="s">
        <v>162</v>
      </c>
      <c r="B24" s="15" t="s">
        <v>163</v>
      </c>
      <c r="C24" s="20" t="s">
        <v>164</v>
      </c>
    </row>
    <row r="25" spans="1:3" ht="51" x14ac:dyDescent="0.2">
      <c r="A25" s="17" t="s">
        <v>165</v>
      </c>
      <c r="B25" s="18" t="s">
        <v>166</v>
      </c>
      <c r="C25" s="21" t="s">
        <v>167</v>
      </c>
    </row>
    <row r="26" spans="1:3" ht="63.75" x14ac:dyDescent="0.2">
      <c r="A26" s="14" t="s">
        <v>168</v>
      </c>
      <c r="B26" s="15" t="s">
        <v>169</v>
      </c>
      <c r="C26" s="16" t="s">
        <v>170</v>
      </c>
    </row>
    <row r="27" spans="1:3" ht="76.5" x14ac:dyDescent="0.2">
      <c r="A27" s="17" t="s">
        <v>171</v>
      </c>
      <c r="B27" s="18" t="s">
        <v>172</v>
      </c>
      <c r="C27" s="7" t="s">
        <v>173</v>
      </c>
    </row>
    <row r="28" spans="1:3" ht="89.25" x14ac:dyDescent="0.2">
      <c r="A28" s="14" t="s">
        <v>174</v>
      </c>
      <c r="B28" s="15" t="s">
        <v>175</v>
      </c>
      <c r="C28" s="5" t="s">
        <v>176</v>
      </c>
    </row>
    <row r="29" spans="1:3" ht="38.25" x14ac:dyDescent="0.2">
      <c r="A29" s="17" t="s">
        <v>177</v>
      </c>
      <c r="B29" s="18" t="s">
        <v>178</v>
      </c>
      <c r="C29" s="21" t="s">
        <v>179</v>
      </c>
    </row>
    <row r="30" spans="1:3" ht="38.25" x14ac:dyDescent="0.2">
      <c r="A30" s="14" t="s">
        <v>180</v>
      </c>
      <c r="B30" s="15" t="s">
        <v>181</v>
      </c>
      <c r="C30" s="16" t="s">
        <v>182</v>
      </c>
    </row>
    <row r="31" spans="1:3" ht="38.25" x14ac:dyDescent="0.2">
      <c r="A31" s="17" t="s">
        <v>183</v>
      </c>
      <c r="B31" s="18" t="s">
        <v>184</v>
      </c>
      <c r="C31" s="21" t="s">
        <v>185</v>
      </c>
    </row>
    <row r="32" spans="1:3" ht="51" x14ac:dyDescent="0.2">
      <c r="A32" s="14" t="s">
        <v>186</v>
      </c>
      <c r="B32" s="15" t="s">
        <v>187</v>
      </c>
      <c r="C32" s="16" t="s">
        <v>188</v>
      </c>
    </row>
  </sheetData>
  <mergeCells count="1">
    <mergeCell ref="A1:C1"/>
  </mergeCells>
  <hyperlinks>
    <hyperlink ref="C3" r:id="rId1" xr:uid="{00000000-0004-0000-0200-000000000000}"/>
    <hyperlink ref="C4" r:id="rId2" xr:uid="{00000000-0004-0000-0200-000001000000}"/>
    <hyperlink ref="C6" r:id="rId3" location="gid=0" xr:uid="{00000000-0004-0000-0200-000002000000}"/>
    <hyperlink ref="C20" location="Wolfpacks!A1" display="See the Wolfpacks tab of this spreadsheet. In short, Pack Hunter is approximately an 25-30% buff to base rocket damage. However, not all perks are multiplied and treated the same — see the tab for more info." xr:uid="{00000000-0004-0000-0200-000003000000}"/>
    <hyperlink ref="C24" location="'Ranking (old)'!A1" display="See the Ranking tab — rocket rotations are still good without Pack Hunter, but not chart-topping like they are without (~14% DPS loss for Izi slug Apex)." xr:uid="{00000000-0004-0000-0200-000004000000}"/>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F0000"/>
    <outlinePr summaryBelow="0" summaryRight="0"/>
  </sheetPr>
  <dimension ref="A1:I56"/>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3.85546875" customWidth="1"/>
    <col min="2" max="2" width="7.42578125" customWidth="1"/>
    <col min="3" max="3" width="8.85546875" customWidth="1"/>
    <col min="4" max="4" width="18.42578125" customWidth="1"/>
    <col min="5" max="8" width="18.85546875" customWidth="1"/>
    <col min="9" max="9" width="30" customWidth="1"/>
  </cols>
  <sheetData>
    <row r="1" spans="1:9" ht="30" customHeight="1" x14ac:dyDescent="0.2">
      <c r="A1" s="22" t="s">
        <v>189</v>
      </c>
      <c r="B1" s="22" t="s">
        <v>190</v>
      </c>
      <c r="C1" s="22" t="s">
        <v>191</v>
      </c>
      <c r="D1" s="22" t="s">
        <v>192</v>
      </c>
      <c r="E1" s="22" t="s">
        <v>193</v>
      </c>
      <c r="F1" s="22" t="s">
        <v>194</v>
      </c>
      <c r="G1" s="22" t="s">
        <v>195</v>
      </c>
      <c r="H1" s="22" t="s">
        <v>196</v>
      </c>
      <c r="I1" s="22" t="s">
        <v>197</v>
      </c>
    </row>
    <row r="2" spans="1:9" ht="43.5" customHeight="1" x14ac:dyDescent="0.2">
      <c r="A2" s="23">
        <v>1</v>
      </c>
      <c r="B2" s="24"/>
      <c r="C2" s="25" t="s">
        <v>198</v>
      </c>
      <c r="D2" s="26" t="s">
        <v>199</v>
      </c>
      <c r="E2" s="25" t="s">
        <v>200</v>
      </c>
      <c r="F2" s="25" t="s">
        <v>201</v>
      </c>
      <c r="G2" s="25" t="s">
        <v>202</v>
      </c>
      <c r="H2" s="25" t="s">
        <v>203</v>
      </c>
      <c r="I2" s="25" t="s">
        <v>204</v>
      </c>
    </row>
    <row r="3" spans="1:9" ht="43.5" customHeight="1" x14ac:dyDescent="0.2">
      <c r="A3" s="23">
        <v>1</v>
      </c>
      <c r="B3" s="27"/>
      <c r="C3" s="25" t="s">
        <v>205</v>
      </c>
      <c r="D3" s="26" t="s">
        <v>206</v>
      </c>
      <c r="E3" s="25" t="s">
        <v>207</v>
      </c>
      <c r="F3" s="25" t="s">
        <v>207</v>
      </c>
      <c r="G3" s="25" t="s">
        <v>207</v>
      </c>
      <c r="H3" s="25" t="s">
        <v>207</v>
      </c>
      <c r="I3" s="25" t="s">
        <v>208</v>
      </c>
    </row>
    <row r="4" spans="1:9" ht="43.5" customHeight="1" x14ac:dyDescent="0.2">
      <c r="A4" s="23">
        <v>1</v>
      </c>
      <c r="B4" s="27"/>
      <c r="C4" s="25" t="s">
        <v>205</v>
      </c>
      <c r="D4" s="26" t="s">
        <v>209</v>
      </c>
      <c r="E4" s="25" t="s">
        <v>207</v>
      </c>
      <c r="F4" s="25" t="s">
        <v>207</v>
      </c>
      <c r="G4" s="25" t="s">
        <v>207</v>
      </c>
      <c r="H4" s="25" t="s">
        <v>207</v>
      </c>
      <c r="I4" s="25" t="s">
        <v>210</v>
      </c>
    </row>
    <row r="5" spans="1:9" ht="43.5" customHeight="1" x14ac:dyDescent="0.2">
      <c r="A5" s="23">
        <v>1</v>
      </c>
      <c r="B5" s="27"/>
      <c r="C5" s="25" t="s">
        <v>211</v>
      </c>
      <c r="D5" s="26" t="s">
        <v>212</v>
      </c>
      <c r="E5" s="25" t="s">
        <v>213</v>
      </c>
      <c r="F5" s="25" t="s">
        <v>213</v>
      </c>
      <c r="G5" s="25" t="s">
        <v>213</v>
      </c>
      <c r="H5" s="25" t="s">
        <v>213</v>
      </c>
      <c r="I5" s="25" t="s">
        <v>214</v>
      </c>
    </row>
    <row r="6" spans="1:9" ht="43.5" customHeight="1" x14ac:dyDescent="0.2">
      <c r="A6" s="23">
        <v>1</v>
      </c>
      <c r="B6" s="27"/>
      <c r="C6" s="25" t="s">
        <v>215</v>
      </c>
      <c r="D6" s="26" t="s">
        <v>216</v>
      </c>
      <c r="E6" s="25" t="s">
        <v>213</v>
      </c>
      <c r="F6" s="25" t="s">
        <v>213</v>
      </c>
      <c r="G6" s="25" t="s">
        <v>213</v>
      </c>
      <c r="H6" s="25" t="s">
        <v>213</v>
      </c>
      <c r="I6" s="25" t="s">
        <v>217</v>
      </c>
    </row>
    <row r="7" spans="1:9" ht="43.5" customHeight="1" x14ac:dyDescent="0.2">
      <c r="A7" s="23">
        <v>1</v>
      </c>
      <c r="B7" s="24"/>
      <c r="C7" s="25" t="s">
        <v>211</v>
      </c>
      <c r="D7" s="26" t="s">
        <v>218</v>
      </c>
      <c r="E7" s="25" t="s">
        <v>207</v>
      </c>
      <c r="F7" s="25" t="s">
        <v>207</v>
      </c>
      <c r="G7" s="25" t="s">
        <v>207</v>
      </c>
      <c r="H7" s="25" t="s">
        <v>207</v>
      </c>
      <c r="I7" s="25" t="s">
        <v>219</v>
      </c>
    </row>
    <row r="8" spans="1:9" ht="43.5" customHeight="1" x14ac:dyDescent="0.2">
      <c r="A8" s="23">
        <v>1</v>
      </c>
      <c r="B8" s="27"/>
      <c r="C8" s="25" t="s">
        <v>220</v>
      </c>
      <c r="D8" s="26" t="s">
        <v>221</v>
      </c>
      <c r="E8" s="25" t="s">
        <v>207</v>
      </c>
      <c r="F8" s="25" t="s">
        <v>207</v>
      </c>
      <c r="G8" s="25" t="s">
        <v>207</v>
      </c>
      <c r="H8" s="25" t="s">
        <v>207</v>
      </c>
      <c r="I8" s="25" t="s">
        <v>222</v>
      </c>
    </row>
    <row r="9" spans="1:9" ht="43.5" customHeight="1" x14ac:dyDescent="0.2">
      <c r="A9" s="23">
        <v>1</v>
      </c>
      <c r="B9" s="27"/>
      <c r="C9" s="25" t="s">
        <v>223</v>
      </c>
      <c r="D9" s="26" t="s">
        <v>224</v>
      </c>
      <c r="E9" s="25" t="s">
        <v>207</v>
      </c>
      <c r="F9" s="25" t="s">
        <v>207</v>
      </c>
      <c r="G9" s="25" t="s">
        <v>207</v>
      </c>
      <c r="H9" s="25" t="s">
        <v>207</v>
      </c>
      <c r="I9" s="25" t="s">
        <v>225</v>
      </c>
    </row>
    <row r="10" spans="1:9" ht="43.5" customHeight="1" x14ac:dyDescent="0.2">
      <c r="A10" s="23">
        <v>1</v>
      </c>
      <c r="B10" s="27"/>
      <c r="C10" s="25" t="s">
        <v>211</v>
      </c>
      <c r="D10" s="26" t="s">
        <v>226</v>
      </c>
      <c r="E10" s="25" t="s">
        <v>213</v>
      </c>
      <c r="F10" s="25" t="s">
        <v>213</v>
      </c>
      <c r="G10" s="25" t="s">
        <v>213</v>
      </c>
      <c r="H10" s="25" t="s">
        <v>213</v>
      </c>
      <c r="I10" s="25" t="s">
        <v>227</v>
      </c>
    </row>
    <row r="11" spans="1:9" ht="43.5" customHeight="1" x14ac:dyDescent="0.2">
      <c r="A11" s="23">
        <v>1</v>
      </c>
      <c r="B11" s="27"/>
      <c r="C11" s="25" t="s">
        <v>220</v>
      </c>
      <c r="D11" s="26" t="s">
        <v>228</v>
      </c>
      <c r="E11" s="25" t="s">
        <v>207</v>
      </c>
      <c r="F11" s="25" t="s">
        <v>207</v>
      </c>
      <c r="G11" s="25" t="s">
        <v>207</v>
      </c>
      <c r="H11" s="25" t="s">
        <v>207</v>
      </c>
      <c r="I11" s="25" t="s">
        <v>229</v>
      </c>
    </row>
    <row r="12" spans="1:9" ht="43.5" customHeight="1" x14ac:dyDescent="0.2">
      <c r="A12" s="23">
        <v>1</v>
      </c>
      <c r="B12" s="27"/>
      <c r="C12" s="25" t="s">
        <v>220</v>
      </c>
      <c r="D12" s="26" t="s">
        <v>230</v>
      </c>
      <c r="E12" s="25" t="s">
        <v>207</v>
      </c>
      <c r="F12" s="25" t="s">
        <v>207</v>
      </c>
      <c r="G12" s="25" t="s">
        <v>207</v>
      </c>
      <c r="H12" s="25" t="s">
        <v>207</v>
      </c>
      <c r="I12" s="25" t="s">
        <v>231</v>
      </c>
    </row>
    <row r="13" spans="1:9" ht="43.5" customHeight="1" x14ac:dyDescent="0.2">
      <c r="A13" s="23">
        <v>1</v>
      </c>
      <c r="B13" s="27"/>
      <c r="C13" s="25" t="s">
        <v>205</v>
      </c>
      <c r="D13" s="26" t="s">
        <v>232</v>
      </c>
      <c r="E13" s="25" t="s">
        <v>207</v>
      </c>
      <c r="F13" s="25" t="s">
        <v>207</v>
      </c>
      <c r="G13" s="25" t="s">
        <v>207</v>
      </c>
      <c r="H13" s="25" t="s">
        <v>207</v>
      </c>
      <c r="I13" s="25" t="s">
        <v>233</v>
      </c>
    </row>
    <row r="14" spans="1:9" ht="43.5" customHeight="1" x14ac:dyDescent="0.2">
      <c r="A14" s="23">
        <v>1</v>
      </c>
      <c r="B14" s="27"/>
      <c r="C14" s="25" t="s">
        <v>215</v>
      </c>
      <c r="D14" s="26" t="s">
        <v>234</v>
      </c>
      <c r="E14" s="25" t="s">
        <v>213</v>
      </c>
      <c r="F14" s="25" t="s">
        <v>213</v>
      </c>
      <c r="G14" s="25" t="s">
        <v>213</v>
      </c>
      <c r="H14" s="25" t="s">
        <v>213</v>
      </c>
      <c r="I14" s="25" t="s">
        <v>235</v>
      </c>
    </row>
    <row r="15" spans="1:9" ht="43.5" customHeight="1" x14ac:dyDescent="0.2">
      <c r="A15" s="23">
        <v>1</v>
      </c>
      <c r="B15" s="27"/>
      <c r="C15" s="25" t="s">
        <v>211</v>
      </c>
      <c r="D15" s="26" t="s">
        <v>236</v>
      </c>
      <c r="E15" s="25" t="s">
        <v>213</v>
      </c>
      <c r="F15" s="25" t="s">
        <v>213</v>
      </c>
      <c r="G15" s="25" t="s">
        <v>213</v>
      </c>
      <c r="H15" s="25" t="s">
        <v>213</v>
      </c>
      <c r="I15" s="25" t="s">
        <v>237</v>
      </c>
    </row>
    <row r="16" spans="1:9" ht="43.5" customHeight="1" x14ac:dyDescent="0.2">
      <c r="A16" s="23">
        <v>1</v>
      </c>
      <c r="B16" s="27"/>
      <c r="C16" s="25" t="s">
        <v>215</v>
      </c>
      <c r="D16" s="26" t="s">
        <v>238</v>
      </c>
      <c r="E16" s="25" t="s">
        <v>200</v>
      </c>
      <c r="F16" s="25" t="s">
        <v>239</v>
      </c>
      <c r="G16" s="25" t="s">
        <v>240</v>
      </c>
      <c r="H16" s="25" t="s">
        <v>241</v>
      </c>
      <c r="I16" s="25" t="s">
        <v>242</v>
      </c>
    </row>
    <row r="17" spans="1:9" ht="43.5" customHeight="1" x14ac:dyDescent="0.2">
      <c r="A17" s="23">
        <v>2</v>
      </c>
      <c r="B17" s="27"/>
      <c r="C17" s="25" t="s">
        <v>243</v>
      </c>
      <c r="D17" s="26" t="s">
        <v>244</v>
      </c>
      <c r="E17" s="25" t="s">
        <v>207</v>
      </c>
      <c r="F17" s="25" t="s">
        <v>207</v>
      </c>
      <c r="G17" s="25" t="s">
        <v>207</v>
      </c>
      <c r="H17" s="25" t="s">
        <v>207</v>
      </c>
      <c r="I17" s="25" t="s">
        <v>245</v>
      </c>
    </row>
    <row r="18" spans="1:9" ht="43.5" customHeight="1" x14ac:dyDescent="0.2">
      <c r="A18" s="23">
        <v>2</v>
      </c>
      <c r="B18" s="24"/>
      <c r="C18" s="25" t="s">
        <v>198</v>
      </c>
      <c r="D18" s="26" t="s">
        <v>246</v>
      </c>
      <c r="E18" s="25" t="s">
        <v>200</v>
      </c>
      <c r="F18" s="25" t="s">
        <v>201</v>
      </c>
      <c r="G18" s="25" t="s">
        <v>247</v>
      </c>
      <c r="H18" s="25" t="s">
        <v>248</v>
      </c>
      <c r="I18" s="25" t="s">
        <v>249</v>
      </c>
    </row>
    <row r="19" spans="1:9" ht="43.5" customHeight="1" x14ac:dyDescent="0.2">
      <c r="A19" s="23">
        <v>2</v>
      </c>
      <c r="B19" s="27"/>
      <c r="C19" s="25" t="s">
        <v>215</v>
      </c>
      <c r="D19" s="26" t="s">
        <v>250</v>
      </c>
      <c r="E19" s="25" t="s">
        <v>251</v>
      </c>
      <c r="F19" s="25" t="s">
        <v>252</v>
      </c>
      <c r="G19" s="25" t="s">
        <v>253</v>
      </c>
      <c r="H19" s="25" t="s">
        <v>254</v>
      </c>
      <c r="I19" s="25" t="s">
        <v>255</v>
      </c>
    </row>
    <row r="20" spans="1:9" ht="43.5" customHeight="1" x14ac:dyDescent="0.2">
      <c r="A20" s="23">
        <v>2</v>
      </c>
      <c r="B20" s="27"/>
      <c r="C20" s="25" t="s">
        <v>215</v>
      </c>
      <c r="D20" s="26" t="s">
        <v>126</v>
      </c>
      <c r="E20" s="25" t="s">
        <v>213</v>
      </c>
      <c r="F20" s="25" t="s">
        <v>213</v>
      </c>
      <c r="G20" s="25" t="s">
        <v>213</v>
      </c>
      <c r="H20" s="25" t="s">
        <v>213</v>
      </c>
      <c r="I20" s="25" t="s">
        <v>256</v>
      </c>
    </row>
    <row r="21" spans="1:9" ht="43.5" customHeight="1" x14ac:dyDescent="0.2">
      <c r="A21" s="23">
        <v>2</v>
      </c>
      <c r="B21" s="27"/>
      <c r="C21" s="25" t="s">
        <v>257</v>
      </c>
      <c r="D21" s="26" t="s">
        <v>258</v>
      </c>
      <c r="E21" s="25" t="s">
        <v>207</v>
      </c>
      <c r="F21" s="25" t="s">
        <v>207</v>
      </c>
      <c r="G21" s="25" t="s">
        <v>207</v>
      </c>
      <c r="H21" s="25" t="s">
        <v>207</v>
      </c>
      <c r="I21" s="25" t="s">
        <v>259</v>
      </c>
    </row>
    <row r="22" spans="1:9" ht="43.5" customHeight="1" x14ac:dyDescent="0.2">
      <c r="A22" s="23">
        <v>2</v>
      </c>
      <c r="B22" s="27"/>
      <c r="C22" s="25" t="s">
        <v>243</v>
      </c>
      <c r="D22" s="26" t="s">
        <v>260</v>
      </c>
      <c r="E22" s="25" t="s">
        <v>207</v>
      </c>
      <c r="F22" s="25" t="s">
        <v>207</v>
      </c>
      <c r="G22" s="25" t="s">
        <v>207</v>
      </c>
      <c r="H22" s="25" t="s">
        <v>207</v>
      </c>
      <c r="I22" s="25" t="s">
        <v>261</v>
      </c>
    </row>
    <row r="23" spans="1:9" ht="43.5" customHeight="1" x14ac:dyDescent="0.2">
      <c r="A23" s="23">
        <v>2</v>
      </c>
      <c r="B23" s="27"/>
      <c r="C23" s="25" t="s">
        <v>215</v>
      </c>
      <c r="D23" s="26" t="s">
        <v>262</v>
      </c>
      <c r="E23" s="25" t="s">
        <v>251</v>
      </c>
      <c r="F23" s="25" t="s">
        <v>263</v>
      </c>
      <c r="G23" s="25" t="s">
        <v>202</v>
      </c>
      <c r="H23" s="25" t="s">
        <v>264</v>
      </c>
      <c r="I23" s="25" t="s">
        <v>265</v>
      </c>
    </row>
    <row r="24" spans="1:9" ht="43.5" customHeight="1" x14ac:dyDescent="0.2">
      <c r="A24" s="23">
        <v>2</v>
      </c>
      <c r="B24" s="27"/>
      <c r="C24" s="25" t="s">
        <v>215</v>
      </c>
      <c r="D24" s="26" t="s">
        <v>266</v>
      </c>
      <c r="E24" s="25" t="s">
        <v>267</v>
      </c>
      <c r="F24" s="25" t="s">
        <v>252</v>
      </c>
      <c r="G24" s="25" t="s">
        <v>268</v>
      </c>
      <c r="H24" s="25" t="s">
        <v>269</v>
      </c>
      <c r="I24" s="25" t="s">
        <v>270</v>
      </c>
    </row>
    <row r="25" spans="1:9" ht="43.5" customHeight="1" x14ac:dyDescent="0.2">
      <c r="A25" s="23">
        <v>2</v>
      </c>
      <c r="B25" s="25"/>
      <c r="C25" s="25" t="s">
        <v>215</v>
      </c>
      <c r="D25" s="26" t="s">
        <v>271</v>
      </c>
      <c r="E25" s="25" t="s">
        <v>267</v>
      </c>
      <c r="F25" s="25" t="s">
        <v>263</v>
      </c>
      <c r="G25" s="25" t="s">
        <v>272</v>
      </c>
      <c r="H25" s="25" t="s">
        <v>273</v>
      </c>
      <c r="I25" s="25" t="s">
        <v>274</v>
      </c>
    </row>
    <row r="26" spans="1:9" ht="43.5" customHeight="1" x14ac:dyDescent="0.2">
      <c r="A26" s="23">
        <v>2</v>
      </c>
      <c r="B26" s="25"/>
      <c r="C26" s="25" t="s">
        <v>215</v>
      </c>
      <c r="D26" s="26" t="s">
        <v>275</v>
      </c>
      <c r="E26" s="25" t="s">
        <v>267</v>
      </c>
      <c r="F26" s="25" t="s">
        <v>263</v>
      </c>
      <c r="G26" s="25" t="s">
        <v>240</v>
      </c>
      <c r="H26" s="25" t="s">
        <v>276</v>
      </c>
      <c r="I26" s="25" t="s">
        <v>274</v>
      </c>
    </row>
    <row r="27" spans="1:9" ht="43.5" customHeight="1" x14ac:dyDescent="0.2">
      <c r="A27" s="23">
        <v>2</v>
      </c>
      <c r="B27" s="25"/>
      <c r="C27" s="25" t="s">
        <v>215</v>
      </c>
      <c r="D27" s="26" t="s">
        <v>277</v>
      </c>
      <c r="E27" s="25" t="s">
        <v>267</v>
      </c>
      <c r="F27" s="25" t="s">
        <v>252</v>
      </c>
      <c r="G27" s="25" t="s">
        <v>240</v>
      </c>
      <c r="H27" s="25" t="s">
        <v>269</v>
      </c>
      <c r="I27" s="25" t="s">
        <v>278</v>
      </c>
    </row>
    <row r="28" spans="1:9" ht="43.5" customHeight="1" x14ac:dyDescent="0.2">
      <c r="A28" s="23">
        <v>2</v>
      </c>
      <c r="B28" s="27"/>
      <c r="C28" s="25" t="s">
        <v>205</v>
      </c>
      <c r="D28" s="26" t="s">
        <v>279</v>
      </c>
      <c r="E28" s="25" t="s">
        <v>207</v>
      </c>
      <c r="F28" s="25" t="s">
        <v>207</v>
      </c>
      <c r="G28" s="25" t="s">
        <v>207</v>
      </c>
      <c r="H28" s="25" t="s">
        <v>207</v>
      </c>
      <c r="I28" s="25" t="s">
        <v>280</v>
      </c>
    </row>
    <row r="29" spans="1:9" ht="43.5" customHeight="1" x14ac:dyDescent="0.2">
      <c r="A29" s="23">
        <v>2</v>
      </c>
      <c r="B29" s="25"/>
      <c r="C29" s="25" t="s">
        <v>215</v>
      </c>
      <c r="D29" s="26" t="s">
        <v>281</v>
      </c>
      <c r="E29" s="25" t="s">
        <v>267</v>
      </c>
      <c r="F29" s="25" t="s">
        <v>263</v>
      </c>
      <c r="G29" s="25" t="s">
        <v>282</v>
      </c>
      <c r="H29" s="25" t="s">
        <v>283</v>
      </c>
      <c r="I29" s="25" t="s">
        <v>284</v>
      </c>
    </row>
    <row r="30" spans="1:9" ht="43.5" customHeight="1" x14ac:dyDescent="0.2">
      <c r="A30" s="23">
        <v>2</v>
      </c>
      <c r="B30" s="27"/>
      <c r="C30" s="25" t="s">
        <v>215</v>
      </c>
      <c r="D30" s="26" t="s">
        <v>285</v>
      </c>
      <c r="E30" s="25" t="s">
        <v>267</v>
      </c>
      <c r="F30" s="25" t="s">
        <v>263</v>
      </c>
      <c r="G30" s="25" t="s">
        <v>286</v>
      </c>
      <c r="H30" s="25" t="s">
        <v>283</v>
      </c>
      <c r="I30" s="25" t="s">
        <v>287</v>
      </c>
    </row>
    <row r="31" spans="1:9" ht="43.5" customHeight="1" x14ac:dyDescent="0.2">
      <c r="A31" s="23">
        <v>3</v>
      </c>
      <c r="B31" s="27"/>
      <c r="C31" s="25" t="s">
        <v>288</v>
      </c>
      <c r="D31" s="26" t="s">
        <v>289</v>
      </c>
      <c r="E31" s="25" t="s">
        <v>207</v>
      </c>
      <c r="F31" s="25" t="s">
        <v>207</v>
      </c>
      <c r="G31" s="25" t="s">
        <v>207</v>
      </c>
      <c r="H31" s="25" t="s">
        <v>207</v>
      </c>
      <c r="I31" s="25" t="s">
        <v>290</v>
      </c>
    </row>
    <row r="32" spans="1:9" ht="43.5" customHeight="1" x14ac:dyDescent="0.2">
      <c r="A32" s="23">
        <v>3</v>
      </c>
      <c r="B32" s="27"/>
      <c r="C32" s="25" t="s">
        <v>205</v>
      </c>
      <c r="D32" s="26" t="s">
        <v>291</v>
      </c>
      <c r="E32" s="25" t="s">
        <v>207</v>
      </c>
      <c r="F32" s="25" t="s">
        <v>207</v>
      </c>
      <c r="G32" s="25" t="s">
        <v>207</v>
      </c>
      <c r="H32" s="25" t="s">
        <v>207</v>
      </c>
      <c r="I32" s="25" t="s">
        <v>292</v>
      </c>
    </row>
    <row r="33" spans="1:9" ht="43.5" customHeight="1" x14ac:dyDescent="0.2">
      <c r="A33" s="23">
        <v>3</v>
      </c>
      <c r="B33" s="27"/>
      <c r="C33" s="25" t="s">
        <v>198</v>
      </c>
      <c r="D33" s="26" t="s">
        <v>293</v>
      </c>
      <c r="E33" s="25" t="s">
        <v>200</v>
      </c>
      <c r="F33" s="25" t="s">
        <v>239</v>
      </c>
      <c r="G33" s="25" t="s">
        <v>247</v>
      </c>
      <c r="H33" s="25" t="s">
        <v>294</v>
      </c>
      <c r="I33" s="25" t="s">
        <v>295</v>
      </c>
    </row>
    <row r="34" spans="1:9" ht="43.5" customHeight="1" x14ac:dyDescent="0.2">
      <c r="A34" s="23">
        <v>3</v>
      </c>
      <c r="B34" s="25"/>
      <c r="C34" s="25" t="s">
        <v>215</v>
      </c>
      <c r="D34" s="26" t="s">
        <v>296</v>
      </c>
      <c r="E34" s="25" t="s">
        <v>267</v>
      </c>
      <c r="F34" s="25" t="s">
        <v>252</v>
      </c>
      <c r="G34" s="25" t="s">
        <v>297</v>
      </c>
      <c r="H34" s="25" t="s">
        <v>298</v>
      </c>
      <c r="I34" s="25" t="s">
        <v>299</v>
      </c>
    </row>
    <row r="35" spans="1:9" ht="43.5" customHeight="1" x14ac:dyDescent="0.2">
      <c r="A35" s="23">
        <v>3</v>
      </c>
      <c r="B35" s="25"/>
      <c r="C35" s="25" t="s">
        <v>215</v>
      </c>
      <c r="D35" s="26" t="s">
        <v>300</v>
      </c>
      <c r="E35" s="25" t="s">
        <v>200</v>
      </c>
      <c r="F35" s="25" t="s">
        <v>239</v>
      </c>
      <c r="G35" s="25" t="s">
        <v>240</v>
      </c>
      <c r="H35" s="25" t="s">
        <v>273</v>
      </c>
      <c r="I35" s="25" t="s">
        <v>301</v>
      </c>
    </row>
    <row r="36" spans="1:9" ht="43.5" customHeight="1" x14ac:dyDescent="0.2">
      <c r="A36" s="23">
        <v>3</v>
      </c>
      <c r="B36" s="27"/>
      <c r="C36" s="25" t="s">
        <v>215</v>
      </c>
      <c r="D36" s="26" t="s">
        <v>302</v>
      </c>
      <c r="E36" s="25" t="s">
        <v>251</v>
      </c>
      <c r="F36" s="25" t="s">
        <v>263</v>
      </c>
      <c r="G36" s="25" t="s">
        <v>303</v>
      </c>
      <c r="H36" s="25" t="s">
        <v>304</v>
      </c>
      <c r="I36" s="25" t="s">
        <v>305</v>
      </c>
    </row>
    <row r="37" spans="1:9" ht="43.5" customHeight="1" x14ac:dyDescent="0.2">
      <c r="A37" s="23">
        <v>3</v>
      </c>
      <c r="B37" s="27"/>
      <c r="C37" s="25" t="s">
        <v>205</v>
      </c>
      <c r="D37" s="26" t="s">
        <v>306</v>
      </c>
      <c r="E37" s="25" t="s">
        <v>207</v>
      </c>
      <c r="F37" s="25" t="s">
        <v>207</v>
      </c>
      <c r="G37" s="25" t="s">
        <v>207</v>
      </c>
      <c r="H37" s="25" t="s">
        <v>207</v>
      </c>
      <c r="I37" s="25" t="s">
        <v>307</v>
      </c>
    </row>
    <row r="38" spans="1:9" ht="43.5" customHeight="1" x14ac:dyDescent="0.2">
      <c r="A38" s="23">
        <v>3</v>
      </c>
      <c r="B38" s="27"/>
      <c r="C38" s="25" t="s">
        <v>215</v>
      </c>
      <c r="D38" s="26" t="s">
        <v>308</v>
      </c>
      <c r="E38" s="25" t="s">
        <v>251</v>
      </c>
      <c r="F38" s="25" t="s">
        <v>252</v>
      </c>
      <c r="G38" s="25" t="s">
        <v>309</v>
      </c>
      <c r="H38" s="25" t="s">
        <v>310</v>
      </c>
      <c r="I38" s="25" t="s">
        <v>311</v>
      </c>
    </row>
    <row r="39" spans="1:9" ht="43.5" customHeight="1" x14ac:dyDescent="0.2">
      <c r="A39" s="23">
        <v>3</v>
      </c>
      <c r="B39" s="25"/>
      <c r="C39" s="25" t="s">
        <v>215</v>
      </c>
      <c r="D39" s="26" t="s">
        <v>312</v>
      </c>
      <c r="E39" s="25" t="s">
        <v>267</v>
      </c>
      <c r="F39" s="25" t="s">
        <v>263</v>
      </c>
      <c r="G39" s="25" t="s">
        <v>240</v>
      </c>
      <c r="H39" s="25" t="s">
        <v>313</v>
      </c>
      <c r="I39" s="25" t="s">
        <v>314</v>
      </c>
    </row>
    <row r="40" spans="1:9" ht="43.5" customHeight="1" x14ac:dyDescent="0.2">
      <c r="A40" s="23">
        <v>3</v>
      </c>
      <c r="B40" s="27"/>
      <c r="C40" s="25" t="s">
        <v>198</v>
      </c>
      <c r="D40" s="26" t="s">
        <v>315</v>
      </c>
      <c r="E40" s="25" t="s">
        <v>200</v>
      </c>
      <c r="F40" s="25" t="s">
        <v>239</v>
      </c>
      <c r="G40" s="25" t="s">
        <v>247</v>
      </c>
      <c r="H40" s="25" t="s">
        <v>316</v>
      </c>
      <c r="I40" s="25" t="s">
        <v>295</v>
      </c>
    </row>
    <row r="41" spans="1:9" ht="43.5" customHeight="1" x14ac:dyDescent="0.2">
      <c r="A41" s="23">
        <v>3</v>
      </c>
      <c r="B41" s="27"/>
      <c r="C41" s="25" t="s">
        <v>243</v>
      </c>
      <c r="D41" s="26" t="s">
        <v>317</v>
      </c>
      <c r="E41" s="25" t="s">
        <v>207</v>
      </c>
      <c r="F41" s="25" t="s">
        <v>207</v>
      </c>
      <c r="G41" s="25" t="s">
        <v>207</v>
      </c>
      <c r="H41" s="25" t="s">
        <v>207</v>
      </c>
      <c r="I41" s="25" t="s">
        <v>318</v>
      </c>
    </row>
    <row r="42" spans="1:9" ht="43.5" customHeight="1" x14ac:dyDescent="0.2">
      <c r="A42" s="23">
        <v>3</v>
      </c>
      <c r="B42" s="27"/>
      <c r="C42" s="25" t="s">
        <v>215</v>
      </c>
      <c r="D42" s="26" t="s">
        <v>319</v>
      </c>
      <c r="E42" s="25" t="s">
        <v>213</v>
      </c>
      <c r="F42" s="25" t="s">
        <v>213</v>
      </c>
      <c r="G42" s="25" t="s">
        <v>213</v>
      </c>
      <c r="H42" s="25" t="s">
        <v>213</v>
      </c>
      <c r="I42" s="25" t="s">
        <v>320</v>
      </c>
    </row>
    <row r="43" spans="1:9" ht="43.5" customHeight="1" x14ac:dyDescent="0.2">
      <c r="A43" s="23">
        <v>3</v>
      </c>
      <c r="B43" s="27"/>
      <c r="C43" s="25" t="s">
        <v>321</v>
      </c>
      <c r="D43" s="26" t="s">
        <v>322</v>
      </c>
      <c r="E43" s="25" t="s">
        <v>207</v>
      </c>
      <c r="F43" s="25" t="s">
        <v>207</v>
      </c>
      <c r="G43" s="25" t="s">
        <v>207</v>
      </c>
      <c r="H43" s="25" t="s">
        <v>207</v>
      </c>
      <c r="I43" s="25" t="s">
        <v>323</v>
      </c>
    </row>
    <row r="44" spans="1:9" ht="43.5" customHeight="1" x14ac:dyDescent="0.2">
      <c r="A44" s="23">
        <v>3</v>
      </c>
      <c r="B44" s="27"/>
      <c r="C44" s="25" t="s">
        <v>215</v>
      </c>
      <c r="D44" s="26" t="s">
        <v>324</v>
      </c>
      <c r="E44" s="25" t="s">
        <v>213</v>
      </c>
      <c r="F44" s="25" t="s">
        <v>213</v>
      </c>
      <c r="G44" s="25" t="s">
        <v>213</v>
      </c>
      <c r="H44" s="25" t="s">
        <v>213</v>
      </c>
      <c r="I44" s="25" t="s">
        <v>325</v>
      </c>
    </row>
    <row r="45" spans="1:9" ht="43.5" customHeight="1" x14ac:dyDescent="0.2">
      <c r="A45" s="23">
        <v>3</v>
      </c>
      <c r="B45" s="27"/>
      <c r="C45" s="25" t="s">
        <v>205</v>
      </c>
      <c r="D45" s="26" t="s">
        <v>326</v>
      </c>
      <c r="E45" s="25" t="s">
        <v>207</v>
      </c>
      <c r="F45" s="25" t="s">
        <v>207</v>
      </c>
      <c r="G45" s="25" t="s">
        <v>207</v>
      </c>
      <c r="H45" s="25" t="s">
        <v>207</v>
      </c>
      <c r="I45" s="25" t="s">
        <v>327</v>
      </c>
    </row>
    <row r="46" spans="1:9" ht="43.5" customHeight="1" x14ac:dyDescent="0.2">
      <c r="A46" s="23">
        <v>3</v>
      </c>
      <c r="B46" s="27"/>
      <c r="C46" s="25" t="s">
        <v>215</v>
      </c>
      <c r="D46" s="26" t="s">
        <v>328</v>
      </c>
      <c r="E46" s="25" t="s">
        <v>251</v>
      </c>
      <c r="F46" s="25" t="s">
        <v>263</v>
      </c>
      <c r="G46" s="25" t="s">
        <v>202</v>
      </c>
      <c r="H46" s="25" t="s">
        <v>273</v>
      </c>
      <c r="I46" s="25" t="s">
        <v>329</v>
      </c>
    </row>
    <row r="47" spans="1:9" ht="43.5" customHeight="1" x14ac:dyDescent="0.2">
      <c r="A47" s="23">
        <v>3</v>
      </c>
      <c r="B47" s="27"/>
      <c r="C47" s="25" t="s">
        <v>215</v>
      </c>
      <c r="D47" s="26" t="s">
        <v>330</v>
      </c>
      <c r="E47" s="25" t="s">
        <v>267</v>
      </c>
      <c r="F47" s="25" t="s">
        <v>263</v>
      </c>
      <c r="G47" s="25" t="s">
        <v>331</v>
      </c>
      <c r="H47" s="25" t="s">
        <v>273</v>
      </c>
      <c r="I47" s="25" t="s">
        <v>332</v>
      </c>
    </row>
    <row r="48" spans="1:9" ht="43.5" customHeight="1" x14ac:dyDescent="0.2">
      <c r="A48" s="23">
        <v>3</v>
      </c>
      <c r="B48" s="25"/>
      <c r="C48" s="25" t="s">
        <v>215</v>
      </c>
      <c r="D48" s="26" t="s">
        <v>333</v>
      </c>
      <c r="E48" s="25" t="s">
        <v>200</v>
      </c>
      <c r="F48" s="25" t="s">
        <v>239</v>
      </c>
      <c r="G48" s="25" t="s">
        <v>334</v>
      </c>
      <c r="H48" s="25" t="s">
        <v>273</v>
      </c>
      <c r="I48" s="25" t="s">
        <v>335</v>
      </c>
    </row>
    <row r="49" spans="1:9" ht="43.5" customHeight="1" x14ac:dyDescent="0.2">
      <c r="A49" s="23">
        <v>3</v>
      </c>
      <c r="B49" s="27"/>
      <c r="C49" s="25" t="s">
        <v>215</v>
      </c>
      <c r="D49" s="26" t="s">
        <v>336</v>
      </c>
      <c r="E49" s="25" t="s">
        <v>267</v>
      </c>
      <c r="F49" s="25" t="s">
        <v>263</v>
      </c>
      <c r="G49" s="25" t="s">
        <v>240</v>
      </c>
      <c r="H49" s="25" t="s">
        <v>273</v>
      </c>
      <c r="I49" s="25" t="s">
        <v>337</v>
      </c>
    </row>
    <row r="50" spans="1:9" ht="43.5" customHeight="1" x14ac:dyDescent="0.2">
      <c r="A50" s="23">
        <v>3</v>
      </c>
      <c r="B50" s="27"/>
      <c r="C50" s="25" t="s">
        <v>215</v>
      </c>
      <c r="D50" s="26" t="s">
        <v>338</v>
      </c>
      <c r="E50" s="25" t="s">
        <v>251</v>
      </c>
      <c r="F50" s="25" t="s">
        <v>263</v>
      </c>
      <c r="G50" s="25" t="s">
        <v>240</v>
      </c>
      <c r="H50" s="25" t="s">
        <v>339</v>
      </c>
      <c r="I50" s="25" t="s">
        <v>340</v>
      </c>
    </row>
    <row r="51" spans="1:9" ht="43.5" customHeight="1" x14ac:dyDescent="0.2">
      <c r="A51" s="23">
        <v>3</v>
      </c>
      <c r="B51" s="25"/>
      <c r="C51" s="25" t="s">
        <v>215</v>
      </c>
      <c r="D51" s="26" t="s">
        <v>341</v>
      </c>
      <c r="E51" s="25" t="s">
        <v>267</v>
      </c>
      <c r="F51" s="25" t="s">
        <v>263</v>
      </c>
      <c r="G51" s="25" t="s">
        <v>342</v>
      </c>
      <c r="H51" s="25" t="s">
        <v>273</v>
      </c>
      <c r="I51" s="25" t="s">
        <v>343</v>
      </c>
    </row>
    <row r="52" spans="1:9" ht="43.5" customHeight="1" x14ac:dyDescent="0.2">
      <c r="A52" s="23">
        <v>3</v>
      </c>
      <c r="B52" s="27"/>
      <c r="C52" s="25" t="s">
        <v>220</v>
      </c>
      <c r="D52" s="26" t="s">
        <v>344</v>
      </c>
      <c r="E52" s="25" t="s">
        <v>207</v>
      </c>
      <c r="F52" s="25" t="s">
        <v>207</v>
      </c>
      <c r="G52" s="25" t="s">
        <v>207</v>
      </c>
      <c r="H52" s="25" t="s">
        <v>207</v>
      </c>
      <c r="I52" s="25" t="s">
        <v>345</v>
      </c>
    </row>
    <row r="53" spans="1:9" ht="43.5" customHeight="1" x14ac:dyDescent="0.2">
      <c r="A53" s="23">
        <v>3</v>
      </c>
      <c r="B53" s="27"/>
      <c r="C53" s="25" t="s">
        <v>220</v>
      </c>
      <c r="D53" s="26" t="s">
        <v>346</v>
      </c>
      <c r="E53" s="25" t="s">
        <v>207</v>
      </c>
      <c r="F53" s="25" t="s">
        <v>207</v>
      </c>
      <c r="G53" s="25" t="s">
        <v>207</v>
      </c>
      <c r="H53" s="25" t="s">
        <v>207</v>
      </c>
      <c r="I53" s="25" t="s">
        <v>347</v>
      </c>
    </row>
    <row r="54" spans="1:9" ht="43.5" customHeight="1" x14ac:dyDescent="0.2">
      <c r="A54" s="23">
        <v>3</v>
      </c>
      <c r="B54" s="27"/>
      <c r="C54" s="25" t="s">
        <v>215</v>
      </c>
      <c r="D54" s="26" t="s">
        <v>348</v>
      </c>
      <c r="E54" s="25" t="s">
        <v>251</v>
      </c>
      <c r="F54" s="25" t="s">
        <v>349</v>
      </c>
      <c r="G54" s="25" t="s">
        <v>350</v>
      </c>
      <c r="H54" s="25" t="s">
        <v>141</v>
      </c>
      <c r="I54" s="25" t="s">
        <v>351</v>
      </c>
    </row>
    <row r="55" spans="1:9" ht="43.5" customHeight="1" x14ac:dyDescent="0.2">
      <c r="A55" s="23">
        <v>3</v>
      </c>
      <c r="B55" s="27"/>
      <c r="C55" s="25" t="s">
        <v>215</v>
      </c>
      <c r="D55" s="26" t="s">
        <v>352</v>
      </c>
      <c r="E55" s="25" t="s">
        <v>213</v>
      </c>
      <c r="F55" s="25" t="s">
        <v>213</v>
      </c>
      <c r="G55" s="25" t="s">
        <v>213</v>
      </c>
      <c r="H55" s="25" t="s">
        <v>213</v>
      </c>
      <c r="I55" s="25" t="s">
        <v>353</v>
      </c>
    </row>
    <row r="56" spans="1:9" ht="43.5" customHeight="1" x14ac:dyDescent="0.2">
      <c r="A56" s="23">
        <v>3</v>
      </c>
      <c r="B56" s="27"/>
      <c r="C56" s="25" t="s">
        <v>215</v>
      </c>
      <c r="D56" s="26" t="s">
        <v>354</v>
      </c>
      <c r="E56" s="25" t="s">
        <v>267</v>
      </c>
      <c r="F56" s="25" t="s">
        <v>263</v>
      </c>
      <c r="G56" s="25" t="s">
        <v>297</v>
      </c>
      <c r="H56" s="25" t="s">
        <v>283</v>
      </c>
      <c r="I56" s="25" t="s">
        <v>355</v>
      </c>
    </row>
  </sheetData>
  <autoFilter ref="A1:I56" xr:uid="{00000000-0009-0000-0000-000003000000}"/>
  <customSheetViews>
    <customSheetView guid="{D166B886-1AD5-46A9-98F0-F138368FECEF}" filter="1" showAutoFilter="1">
      <pageMargins left="0.7" right="0.7" top="0.75" bottom="0.75" header="0.3" footer="0.3"/>
      <autoFilter ref="A1:I56" xr:uid="{87C5D5FE-5BA6-4DAC-B99A-BDDB7807FA12}">
        <filterColumn colId="3">
          <filters>
            <filter val="Apex Predator"/>
            <filter val="Briarbinds"/>
            <filter val="Cataphract GL3"/>
            <filter val="Cold Comfort"/>
            <filter val="Dead Weight"/>
            <filter val="Distant Tumulus"/>
            <filter val="Duality"/>
            <filter val="Empty Vessel"/>
            <filter val="Fortissimo-11"/>
            <filter val="Gjallarhorn"/>
            <filter val="Heritage"/>
            <filter val="IKELOS_SG_V1.0.3"/>
            <filter val="IKELOS_SR_V1.0.3"/>
            <filter val="Imperial Decree"/>
            <filter val="Izanagi's Burden"/>
            <filter val="Koraxis's Distress"/>
            <filter val="Lumina"/>
            <filter val="Malfeasance"/>
            <filter val="Merciless"/>
            <filter val="Mindbender's Ambition"/>
            <filter val="Nessa's Oblation"/>
            <filter val="Parasite"/>
            <filter val="Ragnhild-D"/>
            <filter val="Riiswalker"/>
            <filter val="Salvager's Salvo"/>
            <filter val="Seventh Seraph CQC-12"/>
            <filter val="Sojourner's Tale"/>
            <filter val="The Comedian"/>
            <filter val="The Fourth Horseman"/>
            <filter val="The Supremacy"/>
            <filter val="Tractor Cannon"/>
            <filter val="Until Its Return"/>
            <filter val="Wastelander M5"/>
            <filter val="Wilderflight"/>
            <filter val="Witherhoard"/>
            <filter val="Without Remorse"/>
            <filter val="Xenoclast IV"/>
          </filters>
        </filterColumn>
      </autoFilter>
    </customSheetView>
    <customSheetView guid="{39CB8EDD-32E1-4D8F-B9D1-2DBF05F9928D}" filter="1" showAutoFilter="1">
      <pageMargins left="0.7" right="0.7" top="0.75" bottom="0.75" header="0.3" footer="0.3"/>
      <autoFilter ref="A1:I56" xr:uid="{D7354FFC-F9DF-495C-BCBA-58D1468FBC3F}">
        <filterColumn colId="3">
          <filters>
            <filter val="Ballidorse Wrathweavers"/>
            <filter val="Boots of the Assembler"/>
            <filter val="Briarbinds"/>
            <filter val="Cataphract GL3"/>
            <filter val="Celestial Nighthawk"/>
            <filter val="Cuirass of the Falling Star"/>
            <filter val="Felwinter's Helm"/>
            <filter val="Foetracer"/>
            <filter val="Heart of Inmost Light"/>
            <filter val="Imperial Decree"/>
            <filter val="Koraxis's Distress"/>
            <filter val="Lucky Pants"/>
            <filter val="Lumina"/>
            <filter val="Lunafaction Boots"/>
            <filter val="Mask of Bakris"/>
            <filter val="Mindbender's Ambition"/>
            <filter val="Necrotic Grip"/>
            <filter val="Ophidian Aspect"/>
            <filter val="Radiant Dance Machines"/>
            <filter val="Ragnhild-D"/>
            <filter val="Rain of Fire"/>
            <filter val="Seventh Seraph CQC-12"/>
            <filter val="Star-Eater Scales"/>
            <filter val="The Comedian"/>
            <filter val="The Dragon's Shadow"/>
            <filter val="The Sixth Coyote"/>
            <filter val="Verity's Brow"/>
          </filters>
        </filterColumn>
      </autoFilter>
    </customSheetView>
  </customSheetViews>
  <conditionalFormatting sqref="A1 B2:B9 B11:B41 B45 B48:B56">
    <cfRule type="containsText" dxfId="33" priority="1" operator="containsText" text="!">
      <formula>NOT(ISERROR(SEARCH(("!"),(A1))))</formula>
    </cfRule>
  </conditionalFormatting>
  <conditionalFormatting sqref="A2:A56">
    <cfRule type="cellIs" dxfId="32" priority="2" operator="equal">
      <formula>1</formula>
    </cfRule>
    <cfRule type="cellIs" dxfId="31" priority="3" operator="equal">
      <formula>2</formula>
    </cfRule>
    <cfRule type="cellIs" dxfId="30" priority="4" operator="equal">
      <formula>3</formula>
    </cfRule>
  </conditionalFormatting>
  <conditionalFormatting sqref="E2:I56">
    <cfRule type="cellIs" dxfId="29" priority="5" operator="equal">
      <formula>"Fixed"</formula>
    </cfRule>
    <cfRule type="cellIs" dxfId="28" priority="6" operator="equal">
      <formula>"/"</formula>
    </cfRule>
  </conditionalFormatting>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FF9900"/>
    <outlinePr summaryBelow="0" summaryRight="0"/>
  </sheetPr>
  <dimension ref="A1:J121"/>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5.140625" customWidth="1"/>
    <col min="2" max="3" width="22" customWidth="1"/>
    <col min="4" max="4" width="51.42578125" customWidth="1"/>
    <col min="5" max="10" width="8.85546875" customWidth="1"/>
  </cols>
  <sheetData>
    <row r="1" spans="1:10" ht="30" customHeight="1" x14ac:dyDescent="0.2">
      <c r="A1" s="28" t="s">
        <v>356</v>
      </c>
      <c r="B1" s="28" t="s">
        <v>357</v>
      </c>
      <c r="C1" s="28" t="s">
        <v>358</v>
      </c>
      <c r="D1" s="28" t="s">
        <v>359</v>
      </c>
      <c r="E1" s="28" t="s">
        <v>360</v>
      </c>
      <c r="F1" s="28" t="s">
        <v>361</v>
      </c>
      <c r="G1" s="28" t="s">
        <v>362</v>
      </c>
      <c r="H1" s="29" t="s">
        <v>363</v>
      </c>
      <c r="I1" s="28" t="s">
        <v>364</v>
      </c>
      <c r="J1" s="28" t="s">
        <v>365</v>
      </c>
    </row>
    <row r="2" spans="1:10" ht="30" customHeight="1" x14ac:dyDescent="0.2">
      <c r="A2" s="27"/>
      <c r="B2" s="27" t="s">
        <v>366</v>
      </c>
      <c r="C2" s="27" t="s">
        <v>367</v>
      </c>
      <c r="D2" s="24"/>
      <c r="E2" s="30">
        <f>ROUND(1195702/15,0)</f>
        <v>79713</v>
      </c>
      <c r="F2" s="27">
        <v>15</v>
      </c>
      <c r="G2" s="31">
        <f>ROUND(19.763313/15,6)</f>
        <v>1.3175539999999999</v>
      </c>
      <c r="H2" s="30">
        <f t="shared" ref="H2:H30" si="0">ROUND(G2/100*6333290,0)</f>
        <v>83445</v>
      </c>
      <c r="I2" s="27">
        <f t="shared" ref="I2:I121" si="1">ROUND(H2/E2,2)</f>
        <v>1.05</v>
      </c>
      <c r="J2" s="27">
        <f t="shared" ref="J2:J121" si="2">ROUND(((G2*F2/100*6333290)-(E2*F2))/7505,3)</f>
        <v>7.4580000000000002</v>
      </c>
    </row>
    <row r="3" spans="1:10" ht="30" customHeight="1" x14ac:dyDescent="0.2">
      <c r="A3" s="27"/>
      <c r="B3" s="27" t="s">
        <v>368</v>
      </c>
      <c r="C3" s="27" t="s">
        <v>369</v>
      </c>
      <c r="D3" s="24" t="s">
        <v>370</v>
      </c>
      <c r="E3" s="30">
        <f>4002*7</f>
        <v>28014</v>
      </c>
      <c r="F3" s="27">
        <v>14</v>
      </c>
      <c r="G3" s="31">
        <f>ROUND(6.272189/14,6)</f>
        <v>0.44801400000000002</v>
      </c>
      <c r="H3" s="30">
        <f t="shared" si="0"/>
        <v>28374</v>
      </c>
      <c r="I3" s="27">
        <f t="shared" si="1"/>
        <v>1.01</v>
      </c>
      <c r="J3" s="27">
        <f t="shared" si="2"/>
        <v>0.67200000000000004</v>
      </c>
    </row>
    <row r="4" spans="1:10" ht="30" customHeight="1" x14ac:dyDescent="0.2">
      <c r="A4" s="27"/>
      <c r="B4" s="27" t="s">
        <v>368</v>
      </c>
      <c r="C4" s="27" t="s">
        <v>369</v>
      </c>
      <c r="D4" s="24" t="s">
        <v>371</v>
      </c>
      <c r="E4" s="30">
        <f>5774*7</f>
        <v>40418</v>
      </c>
      <c r="F4" s="27">
        <v>3</v>
      </c>
      <c r="G4" s="31">
        <f>ROUND(1.893491/3,6)</f>
        <v>0.63116399999999995</v>
      </c>
      <c r="H4" s="30">
        <f t="shared" si="0"/>
        <v>39973</v>
      </c>
      <c r="I4" s="27">
        <f t="shared" si="1"/>
        <v>0.99</v>
      </c>
      <c r="J4" s="27">
        <f t="shared" si="2"/>
        <v>-0.17799999999999999</v>
      </c>
    </row>
    <row r="5" spans="1:10" ht="30" customHeight="1" x14ac:dyDescent="0.2">
      <c r="A5" s="27"/>
      <c r="B5" s="27" t="s">
        <v>368</v>
      </c>
      <c r="C5" s="27" t="s">
        <v>369</v>
      </c>
      <c r="D5" s="24" t="s">
        <v>372</v>
      </c>
      <c r="E5" s="30">
        <f>4620*7</f>
        <v>32340</v>
      </c>
      <c r="F5" s="27">
        <v>11</v>
      </c>
      <c r="G5" s="31">
        <f>ROUND(5.680474/11,6)</f>
        <v>0.51640699999999995</v>
      </c>
      <c r="H5" s="30">
        <f t="shared" si="0"/>
        <v>32706</v>
      </c>
      <c r="I5" s="27">
        <f t="shared" si="1"/>
        <v>1.01</v>
      </c>
      <c r="J5" s="27">
        <f t="shared" si="2"/>
        <v>0.53600000000000003</v>
      </c>
    </row>
    <row r="6" spans="1:10" ht="30" customHeight="1" x14ac:dyDescent="0.2">
      <c r="A6" s="27"/>
      <c r="B6" s="27" t="s">
        <v>368</v>
      </c>
      <c r="C6" s="27" t="s">
        <v>373</v>
      </c>
      <c r="D6" s="24"/>
      <c r="E6" s="30">
        <v>52962</v>
      </c>
      <c r="F6" s="27">
        <v>1</v>
      </c>
      <c r="G6" s="31">
        <v>0.82840199999999997</v>
      </c>
      <c r="H6" s="30">
        <f t="shared" si="0"/>
        <v>52465</v>
      </c>
      <c r="I6" s="27">
        <f t="shared" si="1"/>
        <v>0.99</v>
      </c>
      <c r="J6" s="27">
        <f t="shared" si="2"/>
        <v>-6.6000000000000003E-2</v>
      </c>
    </row>
    <row r="7" spans="1:10" ht="30" customHeight="1" x14ac:dyDescent="0.2">
      <c r="A7" s="27"/>
      <c r="B7" s="27" t="s">
        <v>368</v>
      </c>
      <c r="C7" s="27" t="s">
        <v>374</v>
      </c>
      <c r="D7" s="24" t="s">
        <v>375</v>
      </c>
      <c r="E7" s="30">
        <f>8507*5</f>
        <v>42535</v>
      </c>
      <c r="F7" s="27">
        <v>4</v>
      </c>
      <c r="G7" s="31">
        <f>ROUND(2.60355/4,6)</f>
        <v>0.65088800000000002</v>
      </c>
      <c r="H7" s="30">
        <f t="shared" si="0"/>
        <v>41223</v>
      </c>
      <c r="I7" s="27">
        <f t="shared" si="1"/>
        <v>0.97</v>
      </c>
      <c r="J7" s="27">
        <f t="shared" si="2"/>
        <v>-0.69899999999999995</v>
      </c>
    </row>
    <row r="8" spans="1:10" ht="30" customHeight="1" x14ac:dyDescent="0.2">
      <c r="A8" s="27"/>
      <c r="B8" s="27" t="s">
        <v>368</v>
      </c>
      <c r="C8" s="27" t="s">
        <v>324</v>
      </c>
      <c r="D8" s="24" t="s">
        <v>376</v>
      </c>
      <c r="E8" s="30">
        <v>257952</v>
      </c>
      <c r="F8" s="27">
        <v>1</v>
      </c>
      <c r="G8" s="31">
        <v>4.1420120000000002</v>
      </c>
      <c r="H8" s="30">
        <f t="shared" si="0"/>
        <v>262326</v>
      </c>
      <c r="I8" s="27">
        <f t="shared" si="1"/>
        <v>1.02</v>
      </c>
      <c r="J8" s="27">
        <f t="shared" si="2"/>
        <v>0.58299999999999996</v>
      </c>
    </row>
    <row r="9" spans="1:10" ht="30" customHeight="1" x14ac:dyDescent="0.2">
      <c r="A9" s="27"/>
      <c r="B9" s="27" t="s">
        <v>368</v>
      </c>
      <c r="C9" s="27" t="s">
        <v>324</v>
      </c>
      <c r="D9" s="24" t="s">
        <v>377</v>
      </c>
      <c r="E9" s="30">
        <v>358643</v>
      </c>
      <c r="F9" s="27">
        <v>1</v>
      </c>
      <c r="G9" s="31">
        <v>5.6804730000000001</v>
      </c>
      <c r="H9" s="30">
        <f t="shared" si="0"/>
        <v>359761</v>
      </c>
      <c r="I9" s="27">
        <f t="shared" si="1"/>
        <v>1</v>
      </c>
      <c r="J9" s="27">
        <f t="shared" si="2"/>
        <v>0.14899999999999999</v>
      </c>
    </row>
    <row r="10" spans="1:10" ht="30" customHeight="1" x14ac:dyDescent="0.2">
      <c r="A10" s="27"/>
      <c r="B10" s="27" t="s">
        <v>368</v>
      </c>
      <c r="C10" s="27" t="s">
        <v>378</v>
      </c>
      <c r="D10" s="24" t="s">
        <v>379</v>
      </c>
      <c r="E10" s="30">
        <f>ROUND(675690/6,1)</f>
        <v>112615</v>
      </c>
      <c r="F10" s="27">
        <v>6</v>
      </c>
      <c r="G10" s="31">
        <f>ROUND(10.769231/6,6)</f>
        <v>1.794872</v>
      </c>
      <c r="H10" s="30">
        <f t="shared" si="0"/>
        <v>113674</v>
      </c>
      <c r="I10" s="27">
        <f t="shared" si="1"/>
        <v>1.01</v>
      </c>
      <c r="J10" s="27">
        <f t="shared" si="2"/>
        <v>0.84699999999999998</v>
      </c>
    </row>
    <row r="11" spans="1:10" ht="30" customHeight="1" x14ac:dyDescent="0.2">
      <c r="A11" s="27"/>
      <c r="B11" s="27" t="s">
        <v>368</v>
      </c>
      <c r="C11" s="27" t="s">
        <v>380</v>
      </c>
      <c r="D11" s="24"/>
      <c r="E11" s="30">
        <f>4129*7</f>
        <v>28903</v>
      </c>
      <c r="F11" s="27">
        <v>17</v>
      </c>
      <c r="G11" s="31">
        <f>ROUND(7.810651/17,6)</f>
        <v>0.45945000000000003</v>
      </c>
      <c r="H11" s="30">
        <f t="shared" si="0"/>
        <v>29098</v>
      </c>
      <c r="I11" s="27">
        <f t="shared" si="1"/>
        <v>1.01</v>
      </c>
      <c r="J11" s="27">
        <f t="shared" si="2"/>
        <v>0.442</v>
      </c>
    </row>
    <row r="12" spans="1:10" ht="30" customHeight="1" x14ac:dyDescent="0.2">
      <c r="A12" s="27"/>
      <c r="B12" s="27" t="s">
        <v>368</v>
      </c>
      <c r="C12" s="27" t="s">
        <v>381</v>
      </c>
      <c r="D12" s="24" t="s">
        <v>382</v>
      </c>
      <c r="E12" s="30">
        <f>2889*9</f>
        <v>26001</v>
      </c>
      <c r="F12" s="27">
        <v>16</v>
      </c>
      <c r="G12" s="31">
        <f>ROUND(6.745562/16,6)</f>
        <v>0.42159799999999997</v>
      </c>
      <c r="H12" s="30">
        <f t="shared" si="0"/>
        <v>26701</v>
      </c>
      <c r="I12" s="27">
        <f t="shared" si="1"/>
        <v>1.03</v>
      </c>
      <c r="J12" s="27">
        <f t="shared" si="2"/>
        <v>1.492</v>
      </c>
    </row>
    <row r="13" spans="1:10" ht="30" customHeight="1" x14ac:dyDescent="0.2">
      <c r="A13" s="27"/>
      <c r="B13" s="27" t="s">
        <v>368</v>
      </c>
      <c r="C13" s="27" t="s">
        <v>381</v>
      </c>
      <c r="D13" s="24" t="s">
        <v>383</v>
      </c>
      <c r="E13" s="30">
        <f>2831*9</f>
        <v>25479</v>
      </c>
      <c r="F13" s="27">
        <v>16</v>
      </c>
      <c r="G13" s="31">
        <f>ROUND(6.390531/16,6)</f>
        <v>0.39940799999999999</v>
      </c>
      <c r="H13" s="30">
        <f t="shared" si="0"/>
        <v>25296</v>
      </c>
      <c r="I13" s="27">
        <f t="shared" si="1"/>
        <v>0.99</v>
      </c>
      <c r="J13" s="27">
        <f t="shared" si="2"/>
        <v>-0.39100000000000001</v>
      </c>
    </row>
    <row r="14" spans="1:10" ht="30" customHeight="1" x14ac:dyDescent="0.2">
      <c r="A14" s="27"/>
      <c r="B14" s="27" t="s">
        <v>368</v>
      </c>
      <c r="C14" s="27" t="s">
        <v>381</v>
      </c>
      <c r="D14" s="24" t="s">
        <v>384</v>
      </c>
      <c r="E14" s="30">
        <f>2947*9</f>
        <v>26523</v>
      </c>
      <c r="F14" s="27">
        <v>14</v>
      </c>
      <c r="G14" s="31">
        <f>ROUND((6.508876-0.418753)/14,6)</f>
        <v>0.43500899999999998</v>
      </c>
      <c r="H14" s="30">
        <f t="shared" si="0"/>
        <v>27550</v>
      </c>
      <c r="I14" s="27">
        <f t="shared" si="1"/>
        <v>1.04</v>
      </c>
      <c r="J14" s="27">
        <f t="shared" si="2"/>
        <v>1.917</v>
      </c>
    </row>
    <row r="15" spans="1:10" ht="30" customHeight="1" x14ac:dyDescent="0.2">
      <c r="A15" s="27"/>
      <c r="B15" s="27" t="s">
        <v>368</v>
      </c>
      <c r="C15" s="27" t="s">
        <v>381</v>
      </c>
      <c r="D15" s="24" t="s">
        <v>385</v>
      </c>
      <c r="E15" s="30">
        <f>ROUND(704705/24,0)</f>
        <v>29363</v>
      </c>
      <c r="F15" s="27">
        <v>24</v>
      </c>
      <c r="G15" s="31">
        <f>ROUND(11.242603/24,6)</f>
        <v>0.46844200000000003</v>
      </c>
      <c r="H15" s="30">
        <f t="shared" si="0"/>
        <v>29668</v>
      </c>
      <c r="I15" s="27">
        <f t="shared" si="1"/>
        <v>1.01</v>
      </c>
      <c r="J15" s="27">
        <f t="shared" si="2"/>
        <v>0.97499999999999998</v>
      </c>
    </row>
    <row r="16" spans="1:10" ht="30" customHeight="1" x14ac:dyDescent="0.2">
      <c r="A16" s="27"/>
      <c r="B16" s="27" t="s">
        <v>368</v>
      </c>
      <c r="C16" s="27" t="s">
        <v>386</v>
      </c>
      <c r="D16" s="24" t="s">
        <v>387</v>
      </c>
      <c r="E16" s="30">
        <f>542298/6</f>
        <v>90383</v>
      </c>
      <c r="F16" s="27">
        <v>6</v>
      </c>
      <c r="G16" s="31">
        <f>8.639053/6</f>
        <v>1.4398421666666668</v>
      </c>
      <c r="H16" s="30">
        <f t="shared" si="0"/>
        <v>91189</v>
      </c>
      <c r="I16" s="27">
        <f t="shared" si="1"/>
        <v>1.01</v>
      </c>
      <c r="J16" s="27">
        <f t="shared" si="2"/>
        <v>0.64500000000000002</v>
      </c>
    </row>
    <row r="17" spans="1:10" ht="30" customHeight="1" x14ac:dyDescent="0.2">
      <c r="A17" s="27"/>
      <c r="B17" s="27" t="s">
        <v>388</v>
      </c>
      <c r="C17" s="27" t="s">
        <v>369</v>
      </c>
      <c r="D17" s="24" t="s">
        <v>389</v>
      </c>
      <c r="E17" s="30">
        <v>9318</v>
      </c>
      <c r="F17" s="27">
        <v>30</v>
      </c>
      <c r="G17" s="31">
        <f>4.497041/F17</f>
        <v>0.14990136666666667</v>
      </c>
      <c r="H17" s="30">
        <f t="shared" si="0"/>
        <v>9494</v>
      </c>
      <c r="I17" s="27">
        <f t="shared" si="1"/>
        <v>1.02</v>
      </c>
      <c r="J17" s="27">
        <f t="shared" si="2"/>
        <v>0.70199999999999996</v>
      </c>
    </row>
    <row r="18" spans="1:10" ht="30" customHeight="1" x14ac:dyDescent="0.2">
      <c r="A18" s="27"/>
      <c r="B18" s="27" t="s">
        <v>388</v>
      </c>
      <c r="C18" s="27" t="s">
        <v>390</v>
      </c>
      <c r="D18" s="24" t="s">
        <v>389</v>
      </c>
      <c r="E18" s="30">
        <f>414655/F18</f>
        <v>13821.833333333334</v>
      </c>
      <c r="F18" s="27">
        <v>30</v>
      </c>
      <c r="G18" s="31">
        <f>6.627219/F18</f>
        <v>0.2209073</v>
      </c>
      <c r="H18" s="30">
        <f t="shared" si="0"/>
        <v>13991</v>
      </c>
      <c r="I18" s="27">
        <f t="shared" si="1"/>
        <v>1.01</v>
      </c>
      <c r="J18" s="27">
        <f t="shared" si="2"/>
        <v>0.67500000000000004</v>
      </c>
    </row>
    <row r="19" spans="1:10" ht="30" customHeight="1" x14ac:dyDescent="0.2">
      <c r="A19" s="27"/>
      <c r="B19" s="27" t="s">
        <v>388</v>
      </c>
      <c r="C19" s="27" t="s">
        <v>390</v>
      </c>
      <c r="D19" s="24" t="s">
        <v>391</v>
      </c>
      <c r="E19" s="30">
        <v>53577</v>
      </c>
      <c r="F19" s="27">
        <v>14</v>
      </c>
      <c r="G19" s="31">
        <f>12.071006/F19</f>
        <v>0.86221471428571428</v>
      </c>
      <c r="H19" s="30">
        <f t="shared" si="0"/>
        <v>54607</v>
      </c>
      <c r="I19" s="27">
        <f t="shared" si="1"/>
        <v>1.02</v>
      </c>
      <c r="J19" s="27">
        <f t="shared" si="2"/>
        <v>1.921</v>
      </c>
    </row>
    <row r="20" spans="1:10" ht="30" customHeight="1" x14ac:dyDescent="0.2">
      <c r="A20" s="27"/>
      <c r="B20" s="27" t="s">
        <v>392</v>
      </c>
      <c r="C20" s="27" t="s">
        <v>393</v>
      </c>
      <c r="D20" s="24" t="s">
        <v>239</v>
      </c>
      <c r="E20" s="30">
        <v>28588</v>
      </c>
      <c r="F20" s="27">
        <v>15</v>
      </c>
      <c r="G20" s="31">
        <f>ROUND(6.745562/15,6)</f>
        <v>0.44970399999999999</v>
      </c>
      <c r="H20" s="30">
        <f t="shared" si="0"/>
        <v>28481</v>
      </c>
      <c r="I20" s="27">
        <f t="shared" si="1"/>
        <v>1</v>
      </c>
      <c r="J20" s="27">
        <f t="shared" si="2"/>
        <v>-0.214</v>
      </c>
    </row>
    <row r="21" spans="1:10" ht="30" customHeight="1" x14ac:dyDescent="0.2">
      <c r="A21" s="27"/>
      <c r="B21" s="27" t="s">
        <v>392</v>
      </c>
      <c r="C21" s="27" t="s">
        <v>393</v>
      </c>
      <c r="D21" s="24"/>
      <c r="E21" s="30">
        <v>24450</v>
      </c>
      <c r="F21" s="27">
        <v>18</v>
      </c>
      <c r="G21" s="31">
        <f>ROUND(7.337278/18,6)</f>
        <v>0.40762700000000002</v>
      </c>
      <c r="H21" s="30">
        <f t="shared" si="0"/>
        <v>25816</v>
      </c>
      <c r="I21" s="27">
        <f t="shared" si="1"/>
        <v>1.06</v>
      </c>
      <c r="J21" s="27">
        <f t="shared" si="2"/>
        <v>3.2770000000000001</v>
      </c>
    </row>
    <row r="22" spans="1:10" ht="30" customHeight="1" x14ac:dyDescent="0.2">
      <c r="A22" s="27"/>
      <c r="B22" s="27" t="s">
        <v>392</v>
      </c>
      <c r="C22" s="27" t="s">
        <v>394</v>
      </c>
      <c r="D22" s="24"/>
      <c r="E22" s="30">
        <f>10046+5827</f>
        <v>15873</v>
      </c>
      <c r="F22" s="27">
        <v>10</v>
      </c>
      <c r="G22" s="31">
        <f>2.485207/F22</f>
        <v>0.24852069999999998</v>
      </c>
      <c r="H22" s="30">
        <f t="shared" si="0"/>
        <v>15740</v>
      </c>
      <c r="I22" s="27">
        <f t="shared" si="1"/>
        <v>0.99</v>
      </c>
      <c r="J22" s="27">
        <f t="shared" si="2"/>
        <v>-0.17799999999999999</v>
      </c>
    </row>
    <row r="23" spans="1:10" ht="30" customHeight="1" x14ac:dyDescent="0.2">
      <c r="A23" s="27"/>
      <c r="B23" s="27" t="s">
        <v>392</v>
      </c>
      <c r="C23" s="27" t="s">
        <v>395</v>
      </c>
      <c r="D23" s="24" t="s">
        <v>239</v>
      </c>
      <c r="E23" s="30">
        <v>21857</v>
      </c>
      <c r="F23" s="27">
        <v>10</v>
      </c>
      <c r="G23" s="31">
        <f>ROUND(3.431952/10,6)</f>
        <v>0.34319499999999997</v>
      </c>
      <c r="H23" s="30">
        <f t="shared" si="0"/>
        <v>21736</v>
      </c>
      <c r="I23" s="27">
        <f t="shared" si="1"/>
        <v>0.99</v>
      </c>
      <c r="J23" s="27">
        <f t="shared" si="2"/>
        <v>-0.16200000000000001</v>
      </c>
    </row>
    <row r="24" spans="1:10" ht="30" customHeight="1" x14ac:dyDescent="0.2">
      <c r="A24" s="27"/>
      <c r="B24" s="27" t="s">
        <v>392</v>
      </c>
      <c r="C24" s="27" t="s">
        <v>395</v>
      </c>
      <c r="D24" s="24" t="s">
        <v>396</v>
      </c>
      <c r="E24" s="30">
        <v>19515</v>
      </c>
      <c r="F24" s="27">
        <v>3</v>
      </c>
      <c r="G24" s="31">
        <f>ROUND(0.946745/3,6)</f>
        <v>0.31558199999999997</v>
      </c>
      <c r="H24" s="30">
        <f t="shared" si="0"/>
        <v>19987</v>
      </c>
      <c r="I24" s="27">
        <f t="shared" si="1"/>
        <v>1.02</v>
      </c>
      <c r="J24" s="27">
        <f t="shared" si="2"/>
        <v>0.189</v>
      </c>
    </row>
    <row r="25" spans="1:10" ht="30" customHeight="1" x14ac:dyDescent="0.2">
      <c r="A25" s="27"/>
      <c r="B25" s="27" t="s">
        <v>392</v>
      </c>
      <c r="C25" s="27" t="s">
        <v>395</v>
      </c>
      <c r="D25" s="24"/>
      <c r="E25" s="30">
        <v>19913</v>
      </c>
      <c r="F25" s="27">
        <v>12</v>
      </c>
      <c r="G25" s="31">
        <f>ROUND(3.786982/12,6)</f>
        <v>0.31558199999999997</v>
      </c>
      <c r="H25" s="30">
        <f t="shared" si="0"/>
        <v>19987</v>
      </c>
      <c r="I25" s="27">
        <f t="shared" si="1"/>
        <v>1</v>
      </c>
      <c r="J25" s="27">
        <f t="shared" si="2"/>
        <v>0.11799999999999999</v>
      </c>
    </row>
    <row r="26" spans="1:10" ht="30" customHeight="1" x14ac:dyDescent="0.2">
      <c r="A26" s="27"/>
      <c r="B26" s="27" t="s">
        <v>392</v>
      </c>
      <c r="C26" s="27" t="s">
        <v>397</v>
      </c>
      <c r="D26" s="24" t="s">
        <v>239</v>
      </c>
      <c r="E26" s="30">
        <v>30152</v>
      </c>
      <c r="F26" s="27">
        <v>10</v>
      </c>
      <c r="G26" s="31">
        <f>ROUND(4.260355/10,6)</f>
        <v>0.42603600000000003</v>
      </c>
      <c r="H26" s="30">
        <f t="shared" si="0"/>
        <v>26982</v>
      </c>
      <c r="I26" s="27">
        <f t="shared" si="1"/>
        <v>0.89</v>
      </c>
      <c r="J26" s="27">
        <f t="shared" si="2"/>
        <v>-4.2240000000000002</v>
      </c>
    </row>
    <row r="27" spans="1:10" ht="30" customHeight="1" x14ac:dyDescent="0.2">
      <c r="A27" s="27"/>
      <c r="B27" s="27" t="s">
        <v>392</v>
      </c>
      <c r="C27" s="27" t="s">
        <v>398</v>
      </c>
      <c r="D27" s="24"/>
      <c r="E27" s="30">
        <v>17305</v>
      </c>
      <c r="F27" s="27">
        <v>22</v>
      </c>
      <c r="G27" s="31">
        <f>ROUND(5.798816/22,6)</f>
        <v>0.26358300000000001</v>
      </c>
      <c r="H27" s="30">
        <f t="shared" si="0"/>
        <v>16693</v>
      </c>
      <c r="I27" s="27">
        <f t="shared" si="1"/>
        <v>0.96</v>
      </c>
      <c r="J27" s="27">
        <f t="shared" si="2"/>
        <v>-1.7929999999999999</v>
      </c>
    </row>
    <row r="28" spans="1:10" ht="30" customHeight="1" x14ac:dyDescent="0.2">
      <c r="A28" s="27"/>
      <c r="B28" s="27" t="s">
        <v>392</v>
      </c>
      <c r="C28" s="27" t="s">
        <v>352</v>
      </c>
      <c r="D28" s="24" t="s">
        <v>399</v>
      </c>
      <c r="E28" s="30">
        <v>87799</v>
      </c>
      <c r="F28" s="27">
        <v>1</v>
      </c>
      <c r="G28" s="31">
        <v>1.420118</v>
      </c>
      <c r="H28" s="30">
        <f t="shared" si="0"/>
        <v>89940</v>
      </c>
      <c r="I28" s="27">
        <f t="shared" si="1"/>
        <v>1.02</v>
      </c>
      <c r="J28" s="27">
        <f t="shared" si="2"/>
        <v>0.28499999999999998</v>
      </c>
    </row>
    <row r="29" spans="1:10" ht="30" customHeight="1" x14ac:dyDescent="0.2">
      <c r="A29" s="27"/>
      <c r="B29" s="27" t="s">
        <v>392</v>
      </c>
      <c r="C29" s="27" t="s">
        <v>352</v>
      </c>
      <c r="D29" s="24" t="s">
        <v>400</v>
      </c>
      <c r="E29" s="30">
        <v>43078</v>
      </c>
      <c r="F29" s="27">
        <v>1</v>
      </c>
      <c r="G29" s="31">
        <v>0.710059</v>
      </c>
      <c r="H29" s="30">
        <f t="shared" si="0"/>
        <v>44970</v>
      </c>
      <c r="I29" s="27">
        <f t="shared" si="1"/>
        <v>1.04</v>
      </c>
      <c r="J29" s="27">
        <f t="shared" si="2"/>
        <v>0.252</v>
      </c>
    </row>
    <row r="30" spans="1:10" ht="30" customHeight="1" x14ac:dyDescent="0.2">
      <c r="A30" s="27"/>
      <c r="B30" s="27" t="s">
        <v>401</v>
      </c>
      <c r="C30" s="27" t="s">
        <v>402</v>
      </c>
      <c r="D30" s="24" t="s">
        <v>403</v>
      </c>
      <c r="E30" s="30">
        <v>175002</v>
      </c>
      <c r="F30" s="27">
        <v>1</v>
      </c>
      <c r="G30" s="31">
        <v>2.7218930000000001</v>
      </c>
      <c r="H30" s="30">
        <f t="shared" si="0"/>
        <v>172385</v>
      </c>
      <c r="I30" s="27">
        <f t="shared" si="1"/>
        <v>0.99</v>
      </c>
      <c r="J30" s="27">
        <f t="shared" si="2"/>
        <v>-0.34899999999999998</v>
      </c>
    </row>
    <row r="31" spans="1:10" ht="30" customHeight="1" x14ac:dyDescent="0.2">
      <c r="A31" s="27"/>
      <c r="B31" s="27" t="s">
        <v>401</v>
      </c>
      <c r="C31" s="27" t="s">
        <v>404</v>
      </c>
      <c r="D31" s="24"/>
      <c r="E31" s="30">
        <f>ROUND(494602/16/1.1,0)</f>
        <v>28102</v>
      </c>
      <c r="F31" s="27">
        <v>16</v>
      </c>
      <c r="G31" s="31">
        <f>ROUND(7.928994/16,6)</f>
        <v>0.495562</v>
      </c>
      <c r="H31" s="30">
        <f>ROUND(G31/100*6333290/1.1,0)</f>
        <v>28532</v>
      </c>
      <c r="I31" s="27">
        <f t="shared" si="1"/>
        <v>1.02</v>
      </c>
      <c r="J31" s="27">
        <f t="shared" si="2"/>
        <v>7</v>
      </c>
    </row>
    <row r="32" spans="1:10" ht="30" customHeight="1" x14ac:dyDescent="0.2">
      <c r="A32" s="27"/>
      <c r="B32" s="27" t="s">
        <v>401</v>
      </c>
      <c r="C32" s="27" t="s">
        <v>226</v>
      </c>
      <c r="D32" s="24" t="s">
        <v>370</v>
      </c>
      <c r="E32" s="30">
        <v>74154</v>
      </c>
      <c r="F32" s="27">
        <v>2</v>
      </c>
      <c r="G32" s="31">
        <f>ROUND(2.366864/2,6)</f>
        <v>1.183432</v>
      </c>
      <c r="H32" s="30">
        <f t="shared" ref="H32:H39" si="3">ROUND(G32/100*6333290,0)</f>
        <v>74950</v>
      </c>
      <c r="I32" s="27">
        <f t="shared" si="1"/>
        <v>1.01</v>
      </c>
      <c r="J32" s="27">
        <f t="shared" si="2"/>
        <v>0.21199999999999999</v>
      </c>
    </row>
    <row r="33" spans="1:10" ht="30" customHeight="1" x14ac:dyDescent="0.2">
      <c r="A33" s="27"/>
      <c r="B33" s="27" t="s">
        <v>401</v>
      </c>
      <c r="C33" s="27" t="s">
        <v>226</v>
      </c>
      <c r="D33" s="24" t="s">
        <v>405</v>
      </c>
      <c r="E33" s="30">
        <v>192289</v>
      </c>
      <c r="F33" s="27">
        <v>1</v>
      </c>
      <c r="G33" s="31">
        <v>3.4319519999999999</v>
      </c>
      <c r="H33" s="30">
        <f t="shared" si="3"/>
        <v>217355</v>
      </c>
      <c r="I33" s="27">
        <f t="shared" si="1"/>
        <v>1.1299999999999999</v>
      </c>
      <c r="J33" s="27">
        <f t="shared" si="2"/>
        <v>3.34</v>
      </c>
    </row>
    <row r="34" spans="1:10" ht="30" customHeight="1" x14ac:dyDescent="0.2">
      <c r="A34" s="27"/>
      <c r="B34" s="27" t="s">
        <v>401</v>
      </c>
      <c r="C34" s="27" t="s">
        <v>380</v>
      </c>
      <c r="D34" s="24"/>
      <c r="E34" s="30">
        <v>29854</v>
      </c>
      <c r="F34" s="27">
        <v>16</v>
      </c>
      <c r="G34" s="31">
        <f>ROUND(7.810651/16,6)</f>
        <v>0.48816599999999999</v>
      </c>
      <c r="H34" s="30">
        <f t="shared" si="3"/>
        <v>30917</v>
      </c>
      <c r="I34" s="27">
        <f t="shared" si="1"/>
        <v>1.04</v>
      </c>
      <c r="J34" s="27">
        <f t="shared" si="2"/>
        <v>2.266</v>
      </c>
    </row>
    <row r="35" spans="1:10" ht="30" customHeight="1" x14ac:dyDescent="0.2">
      <c r="A35" s="27"/>
      <c r="B35" s="27" t="s">
        <v>401</v>
      </c>
      <c r="C35" s="27" t="s">
        <v>381</v>
      </c>
      <c r="D35" s="24" t="s">
        <v>406</v>
      </c>
      <c r="E35" s="30">
        <f>ROUND(610289/23,0)</f>
        <v>26534</v>
      </c>
      <c r="F35" s="27">
        <v>23</v>
      </c>
      <c r="G35" s="31">
        <f>ROUND(9.704142/23,6)</f>
        <v>0.42191899999999999</v>
      </c>
      <c r="H35" s="30">
        <f t="shared" si="3"/>
        <v>26721</v>
      </c>
      <c r="I35" s="27">
        <f t="shared" si="1"/>
        <v>1.01</v>
      </c>
      <c r="J35" s="27">
        <f t="shared" si="2"/>
        <v>0.57399999999999995</v>
      </c>
    </row>
    <row r="36" spans="1:10" ht="30" customHeight="1" x14ac:dyDescent="0.2">
      <c r="A36" s="27"/>
      <c r="B36" s="27" t="s">
        <v>401</v>
      </c>
      <c r="C36" s="27" t="s">
        <v>381</v>
      </c>
      <c r="D36" s="24" t="s">
        <v>407</v>
      </c>
      <c r="E36" s="30">
        <f>19169+4722</f>
        <v>23891</v>
      </c>
      <c r="F36" s="27">
        <v>21</v>
      </c>
      <c r="G36" s="31">
        <f>ROUND(8.047337/21,6)</f>
        <v>0.38320700000000002</v>
      </c>
      <c r="H36" s="30">
        <f t="shared" si="3"/>
        <v>24270</v>
      </c>
      <c r="I36" s="27">
        <f t="shared" si="1"/>
        <v>1.02</v>
      </c>
      <c r="J36" s="27">
        <f t="shared" si="2"/>
        <v>1.0589999999999999</v>
      </c>
    </row>
    <row r="37" spans="1:10" ht="30" customHeight="1" x14ac:dyDescent="0.2">
      <c r="A37" s="27"/>
      <c r="B37" s="27" t="s">
        <v>401</v>
      </c>
      <c r="C37" s="27" t="s">
        <v>408</v>
      </c>
      <c r="D37" s="24" t="s">
        <v>409</v>
      </c>
      <c r="E37" s="30">
        <v>218840</v>
      </c>
      <c r="F37" s="27">
        <v>1</v>
      </c>
      <c r="G37" s="31">
        <v>3.4319519999999999</v>
      </c>
      <c r="H37" s="30">
        <f t="shared" si="3"/>
        <v>217355</v>
      </c>
      <c r="I37" s="27">
        <f t="shared" si="1"/>
        <v>0.99</v>
      </c>
      <c r="J37" s="27">
        <f t="shared" si="2"/>
        <v>-0.19800000000000001</v>
      </c>
    </row>
    <row r="38" spans="1:10" ht="30" customHeight="1" x14ac:dyDescent="0.2">
      <c r="A38" s="27"/>
      <c r="B38" s="27" t="s">
        <v>401</v>
      </c>
      <c r="C38" s="27" t="s">
        <v>369</v>
      </c>
      <c r="D38" s="24" t="s">
        <v>410</v>
      </c>
      <c r="E38" s="30">
        <f>41744+5635</f>
        <v>47379</v>
      </c>
      <c r="F38" s="27">
        <v>6</v>
      </c>
      <c r="G38" s="31">
        <f>ROUND(4.615385/6,6)</f>
        <v>0.769231</v>
      </c>
      <c r="H38" s="30">
        <f t="shared" si="3"/>
        <v>48718</v>
      </c>
      <c r="I38" s="27">
        <f t="shared" si="1"/>
        <v>1.03</v>
      </c>
      <c r="J38" s="27">
        <f t="shared" si="2"/>
        <v>1.07</v>
      </c>
    </row>
    <row r="39" spans="1:10" ht="30" customHeight="1" x14ac:dyDescent="0.2">
      <c r="A39" s="27"/>
      <c r="B39" s="27" t="s">
        <v>401</v>
      </c>
      <c r="C39" s="27" t="s">
        <v>369</v>
      </c>
      <c r="D39" s="24" t="s">
        <v>239</v>
      </c>
      <c r="E39" s="30">
        <f>23588+9415</f>
        <v>33003</v>
      </c>
      <c r="F39" s="27">
        <v>17</v>
      </c>
      <c r="G39" s="31">
        <f>ROUND(8.875739/17,6)</f>
        <v>0.52210199999999996</v>
      </c>
      <c r="H39" s="30">
        <f t="shared" si="3"/>
        <v>33066</v>
      </c>
      <c r="I39" s="27">
        <f t="shared" si="1"/>
        <v>1</v>
      </c>
      <c r="J39" s="27">
        <f t="shared" si="2"/>
        <v>0.14299999999999999</v>
      </c>
    </row>
    <row r="40" spans="1:10" ht="30" customHeight="1" x14ac:dyDescent="0.2">
      <c r="A40" s="27"/>
      <c r="B40" s="27" t="s">
        <v>411</v>
      </c>
      <c r="C40" s="27" t="s">
        <v>319</v>
      </c>
      <c r="D40" s="24" t="s">
        <v>412</v>
      </c>
      <c r="E40" s="30">
        <v>362002</v>
      </c>
      <c r="F40" s="27">
        <v>1</v>
      </c>
      <c r="G40" s="31">
        <v>5.91716</v>
      </c>
      <c r="H40" s="30">
        <f>ROUND(G40/100*6333290,0)-3655</f>
        <v>371096</v>
      </c>
      <c r="I40" s="27">
        <f t="shared" si="1"/>
        <v>1.03</v>
      </c>
      <c r="J40" s="27">
        <f t="shared" si="2"/>
        <v>1.6990000000000001</v>
      </c>
    </row>
    <row r="41" spans="1:10" ht="30" customHeight="1" x14ac:dyDescent="0.2">
      <c r="A41" s="27"/>
      <c r="B41" s="27" t="s">
        <v>411</v>
      </c>
      <c r="C41" s="27" t="s">
        <v>413</v>
      </c>
      <c r="D41" s="24" t="s">
        <v>414</v>
      </c>
      <c r="E41" s="30">
        <f>407133/1.2</f>
        <v>339277.5</v>
      </c>
      <c r="F41" s="27">
        <v>1</v>
      </c>
      <c r="G41" s="31">
        <v>6.7455619999999996</v>
      </c>
      <c r="H41" s="30">
        <f>(ROUND(G41/100*6333290,0)-3655)/1.2</f>
        <v>352967.5</v>
      </c>
      <c r="I41" s="27">
        <f t="shared" si="1"/>
        <v>1.04</v>
      </c>
      <c r="J41" s="27">
        <f t="shared" si="2"/>
        <v>11.717000000000001</v>
      </c>
    </row>
    <row r="42" spans="1:10" ht="30" customHeight="1" x14ac:dyDescent="0.2">
      <c r="A42" s="27"/>
      <c r="B42" s="27" t="s">
        <v>415</v>
      </c>
      <c r="C42" s="27" t="s">
        <v>416</v>
      </c>
      <c r="D42" s="24" t="s">
        <v>382</v>
      </c>
      <c r="E42" s="30">
        <f>16009*3</f>
        <v>48027</v>
      </c>
      <c r="F42" s="27">
        <v>9</v>
      </c>
      <c r="G42" s="31">
        <f>ROUND(6.863905/9,6)</f>
        <v>0.762656</v>
      </c>
      <c r="H42" s="30">
        <f t="shared" ref="H42:H82" si="4">ROUND(G42/100*6333290,0)</f>
        <v>48301</v>
      </c>
      <c r="I42" s="27">
        <f t="shared" si="1"/>
        <v>1.01</v>
      </c>
      <c r="J42" s="27">
        <f t="shared" si="2"/>
        <v>0.32900000000000001</v>
      </c>
    </row>
    <row r="43" spans="1:10" ht="30" customHeight="1" x14ac:dyDescent="0.2">
      <c r="A43" s="27"/>
      <c r="B43" s="27" t="s">
        <v>415</v>
      </c>
      <c r="C43" s="27" t="s">
        <v>380</v>
      </c>
      <c r="D43" s="24" t="s">
        <v>383</v>
      </c>
      <c r="E43" s="30">
        <v>32741</v>
      </c>
      <c r="F43" s="27">
        <v>22</v>
      </c>
      <c r="G43" s="31">
        <f>ROUND(11.360947/22,6)</f>
        <v>0.51640699999999995</v>
      </c>
      <c r="H43" s="30">
        <f t="shared" si="4"/>
        <v>32706</v>
      </c>
      <c r="I43" s="27">
        <f t="shared" si="1"/>
        <v>1</v>
      </c>
      <c r="J43" s="27">
        <f t="shared" si="2"/>
        <v>-0.104</v>
      </c>
    </row>
    <row r="44" spans="1:10" ht="30" customHeight="1" x14ac:dyDescent="0.2">
      <c r="A44" s="27"/>
      <c r="B44" s="27" t="s">
        <v>415</v>
      </c>
      <c r="C44" s="27" t="s">
        <v>380</v>
      </c>
      <c r="D44" s="24" t="s">
        <v>417</v>
      </c>
      <c r="E44" s="30">
        <v>33409</v>
      </c>
      <c r="F44" s="27">
        <v>16</v>
      </c>
      <c r="G44" s="31">
        <f>ROUND(8.52071/16,6)</f>
        <v>0.53254400000000002</v>
      </c>
      <c r="H44" s="30">
        <f t="shared" si="4"/>
        <v>33728</v>
      </c>
      <c r="I44" s="27">
        <f t="shared" si="1"/>
        <v>1.01</v>
      </c>
      <c r="J44" s="27">
        <f t="shared" si="2"/>
        <v>0.67900000000000005</v>
      </c>
    </row>
    <row r="45" spans="1:10" ht="30" customHeight="1" x14ac:dyDescent="0.2">
      <c r="A45" s="27"/>
      <c r="B45" s="27" t="s">
        <v>415</v>
      </c>
      <c r="C45" s="27" t="s">
        <v>380</v>
      </c>
      <c r="D45" s="24" t="s">
        <v>384</v>
      </c>
      <c r="E45" s="30">
        <v>34007</v>
      </c>
      <c r="F45" s="27">
        <v>24</v>
      </c>
      <c r="G45" s="31">
        <f>ROUND(13.017751/24,6)</f>
        <v>0.54240600000000005</v>
      </c>
      <c r="H45" s="30">
        <f t="shared" si="4"/>
        <v>34352</v>
      </c>
      <c r="I45" s="27">
        <f t="shared" si="1"/>
        <v>1.01</v>
      </c>
      <c r="J45" s="27">
        <f t="shared" si="2"/>
        <v>1.1040000000000001</v>
      </c>
    </row>
    <row r="46" spans="1:10" ht="30" customHeight="1" x14ac:dyDescent="0.2">
      <c r="A46" s="27"/>
      <c r="B46" s="27" t="s">
        <v>415</v>
      </c>
      <c r="C46" s="27" t="s">
        <v>418</v>
      </c>
      <c r="D46" s="24"/>
      <c r="E46" s="30">
        <f>278592/4</f>
        <v>69648</v>
      </c>
      <c r="F46" s="27">
        <v>4</v>
      </c>
      <c r="G46" s="31">
        <f>ROUND(4.378698/4,6)</f>
        <v>1.0946750000000001</v>
      </c>
      <c r="H46" s="30">
        <f t="shared" si="4"/>
        <v>69329</v>
      </c>
      <c r="I46" s="27">
        <f t="shared" si="1"/>
        <v>1</v>
      </c>
      <c r="J46" s="27">
        <f t="shared" si="2"/>
        <v>-0.17</v>
      </c>
    </row>
    <row r="47" spans="1:10" ht="30" customHeight="1" x14ac:dyDescent="0.2">
      <c r="A47" s="27"/>
      <c r="B47" s="27" t="s">
        <v>419</v>
      </c>
      <c r="C47" s="27" t="s">
        <v>369</v>
      </c>
      <c r="D47" s="24"/>
      <c r="E47" s="30">
        <v>3441</v>
      </c>
      <c r="F47" s="27">
        <v>79</v>
      </c>
      <c r="G47" s="31">
        <f>ROUND(4.260355/79,6)</f>
        <v>5.3928999999999998E-2</v>
      </c>
      <c r="H47" s="30">
        <f t="shared" si="4"/>
        <v>3415</v>
      </c>
      <c r="I47" s="27">
        <f t="shared" si="1"/>
        <v>0.99</v>
      </c>
      <c r="J47" s="27">
        <f t="shared" si="2"/>
        <v>-0.26900000000000002</v>
      </c>
    </row>
    <row r="48" spans="1:10" ht="30" customHeight="1" x14ac:dyDescent="0.2">
      <c r="A48" s="27"/>
      <c r="B48" s="27" t="s">
        <v>419</v>
      </c>
      <c r="C48" s="27" t="s">
        <v>420</v>
      </c>
      <c r="D48" s="24" t="s">
        <v>421</v>
      </c>
      <c r="E48" s="30">
        <v>272560</v>
      </c>
      <c r="F48" s="27">
        <v>1</v>
      </c>
      <c r="G48" s="31">
        <v>4.7337280000000002</v>
      </c>
      <c r="H48" s="30">
        <f t="shared" si="4"/>
        <v>299801</v>
      </c>
      <c r="I48" s="27">
        <f t="shared" si="1"/>
        <v>1.1000000000000001</v>
      </c>
      <c r="J48" s="27">
        <f t="shared" si="2"/>
        <v>3.63</v>
      </c>
    </row>
    <row r="49" spans="1:10" ht="30" customHeight="1" x14ac:dyDescent="0.2">
      <c r="A49" s="27"/>
      <c r="B49" s="27" t="s">
        <v>419</v>
      </c>
      <c r="C49" s="27" t="s">
        <v>422</v>
      </c>
      <c r="D49" s="24" t="s">
        <v>423</v>
      </c>
      <c r="E49" s="30">
        <f>200*2497</f>
        <v>499400</v>
      </c>
      <c r="F49" s="27">
        <v>1</v>
      </c>
      <c r="G49" s="31">
        <f>ROUND(15.384615/2,6)</f>
        <v>7.6923079999999997</v>
      </c>
      <c r="H49" s="30">
        <f t="shared" si="4"/>
        <v>487176</v>
      </c>
      <c r="I49" s="27">
        <f t="shared" si="1"/>
        <v>0.98</v>
      </c>
      <c r="J49" s="27">
        <f t="shared" si="2"/>
        <v>-1.629</v>
      </c>
    </row>
    <row r="50" spans="1:10" ht="30" customHeight="1" x14ac:dyDescent="0.2">
      <c r="A50" s="27"/>
      <c r="B50" s="27" t="s">
        <v>419</v>
      </c>
      <c r="C50" s="27" t="s">
        <v>374</v>
      </c>
      <c r="D50" s="24"/>
      <c r="E50" s="30">
        <v>3977</v>
      </c>
      <c r="F50" s="27">
        <v>58</v>
      </c>
      <c r="G50" s="31">
        <f>ROUND(3.550296/58,6)</f>
        <v>6.1212000000000003E-2</v>
      </c>
      <c r="H50" s="30">
        <f t="shared" si="4"/>
        <v>3877</v>
      </c>
      <c r="I50" s="27">
        <f t="shared" si="1"/>
        <v>0.97</v>
      </c>
      <c r="J50" s="27">
        <f t="shared" si="2"/>
        <v>-0.77500000000000002</v>
      </c>
    </row>
    <row r="51" spans="1:10" ht="30" customHeight="1" x14ac:dyDescent="0.2">
      <c r="A51" s="27"/>
      <c r="B51" s="27" t="s">
        <v>419</v>
      </c>
      <c r="C51" s="27" t="s">
        <v>381</v>
      </c>
      <c r="D51" s="24" t="s">
        <v>424</v>
      </c>
      <c r="E51" s="30">
        <v>591238</v>
      </c>
      <c r="F51" s="27">
        <v>1</v>
      </c>
      <c r="G51" s="31">
        <v>9.3491119999999999</v>
      </c>
      <c r="H51" s="30">
        <f t="shared" si="4"/>
        <v>592106</v>
      </c>
      <c r="I51" s="27">
        <f t="shared" si="1"/>
        <v>1</v>
      </c>
      <c r="J51" s="27">
        <f t="shared" si="2"/>
        <v>0.11600000000000001</v>
      </c>
    </row>
    <row r="52" spans="1:10" ht="30" customHeight="1" x14ac:dyDescent="0.2">
      <c r="A52" s="27"/>
      <c r="B52" s="27" t="s">
        <v>419</v>
      </c>
      <c r="C52" s="27" t="s">
        <v>381</v>
      </c>
      <c r="D52" s="24" t="s">
        <v>425</v>
      </c>
      <c r="E52" s="30">
        <v>562073</v>
      </c>
      <c r="F52" s="27">
        <v>1</v>
      </c>
      <c r="G52" s="31">
        <v>8.8757389999999994</v>
      </c>
      <c r="H52" s="30">
        <f t="shared" si="4"/>
        <v>562126</v>
      </c>
      <c r="I52" s="27">
        <f t="shared" si="1"/>
        <v>1</v>
      </c>
      <c r="J52" s="27">
        <f t="shared" si="2"/>
        <v>7.0000000000000001E-3</v>
      </c>
    </row>
    <row r="53" spans="1:10" ht="30" customHeight="1" x14ac:dyDescent="0.2">
      <c r="A53" s="27"/>
      <c r="B53" s="27" t="s">
        <v>419</v>
      </c>
      <c r="C53" s="27" t="s">
        <v>381</v>
      </c>
      <c r="D53" s="24"/>
      <c r="E53" s="30">
        <f>ROUND(578000/3,0)</f>
        <v>192667</v>
      </c>
      <c r="F53" s="27">
        <v>3</v>
      </c>
      <c r="G53" s="31">
        <f>ROUND(9.822485/3,6)</f>
        <v>3.274162</v>
      </c>
      <c r="H53" s="30">
        <f t="shared" si="4"/>
        <v>207362</v>
      </c>
      <c r="I53" s="27">
        <f t="shared" si="1"/>
        <v>1.08</v>
      </c>
      <c r="J53" s="27">
        <f t="shared" si="2"/>
        <v>5.8739999999999997</v>
      </c>
    </row>
    <row r="54" spans="1:10" ht="30" customHeight="1" x14ac:dyDescent="0.2">
      <c r="A54" s="27"/>
      <c r="B54" s="27" t="s">
        <v>419</v>
      </c>
      <c r="C54" s="27" t="s">
        <v>426</v>
      </c>
      <c r="D54" s="24" t="s">
        <v>427</v>
      </c>
      <c r="E54" s="30">
        <v>1687399</v>
      </c>
      <c r="F54" s="27">
        <v>1</v>
      </c>
      <c r="G54" s="31">
        <v>26.863904999999999</v>
      </c>
      <c r="H54" s="30">
        <f t="shared" si="4"/>
        <v>1701369</v>
      </c>
      <c r="I54" s="27">
        <f t="shared" si="1"/>
        <v>1.01</v>
      </c>
      <c r="J54" s="27">
        <f t="shared" si="2"/>
        <v>1.861</v>
      </c>
    </row>
    <row r="55" spans="1:10" ht="30" customHeight="1" x14ac:dyDescent="0.2">
      <c r="A55" s="27"/>
      <c r="B55" s="27" t="s">
        <v>419</v>
      </c>
      <c r="C55" s="27" t="s">
        <v>428</v>
      </c>
      <c r="D55" s="24"/>
      <c r="E55" s="30">
        <f>340587/13</f>
        <v>26199</v>
      </c>
      <c r="F55" s="27">
        <v>13</v>
      </c>
      <c r="G55" s="31">
        <f>ROUND(5.443787/13,6)</f>
        <v>0.41875299999999999</v>
      </c>
      <c r="H55" s="30">
        <f t="shared" si="4"/>
        <v>26521</v>
      </c>
      <c r="I55" s="27">
        <f t="shared" si="1"/>
        <v>1.01</v>
      </c>
      <c r="J55" s="27">
        <f t="shared" si="2"/>
        <v>0.55700000000000005</v>
      </c>
    </row>
    <row r="56" spans="1:10" ht="30" customHeight="1" x14ac:dyDescent="0.2">
      <c r="A56" s="27"/>
      <c r="B56" s="27" t="s">
        <v>429</v>
      </c>
      <c r="C56" s="27" t="s">
        <v>369</v>
      </c>
      <c r="D56" s="24" t="s">
        <v>201</v>
      </c>
      <c r="E56" s="30">
        <f>55055+17284</f>
        <v>72339</v>
      </c>
      <c r="F56" s="27">
        <v>6</v>
      </c>
      <c r="G56" s="31">
        <f>ROUND(6.982248/6,6)</f>
        <v>1.163708</v>
      </c>
      <c r="H56" s="30">
        <f t="shared" si="4"/>
        <v>73701</v>
      </c>
      <c r="I56" s="27">
        <f t="shared" si="1"/>
        <v>1.02</v>
      </c>
      <c r="J56" s="27">
        <f t="shared" si="2"/>
        <v>1.089</v>
      </c>
    </row>
    <row r="57" spans="1:10" ht="30" customHeight="1" x14ac:dyDescent="0.2">
      <c r="A57" s="27"/>
      <c r="B57" s="27" t="s">
        <v>429</v>
      </c>
      <c r="C57" s="27" t="s">
        <v>430</v>
      </c>
      <c r="D57" s="24" t="s">
        <v>431</v>
      </c>
      <c r="E57" s="30">
        <v>139370</v>
      </c>
      <c r="F57" s="27">
        <v>1</v>
      </c>
      <c r="G57" s="31">
        <f>ROUND(2.248521+(100*2452/6333290),6)</f>
        <v>2.2872370000000002</v>
      </c>
      <c r="H57" s="30">
        <f t="shared" si="4"/>
        <v>144857</v>
      </c>
      <c r="I57" s="27">
        <f t="shared" si="1"/>
        <v>1.04</v>
      </c>
      <c r="J57" s="27">
        <f t="shared" si="2"/>
        <v>0.73099999999999998</v>
      </c>
    </row>
    <row r="58" spans="1:10" ht="30" customHeight="1" x14ac:dyDescent="0.2">
      <c r="A58" s="27"/>
      <c r="B58" s="27" t="s">
        <v>429</v>
      </c>
      <c r="C58" s="27" t="s">
        <v>432</v>
      </c>
      <c r="D58" s="24" t="s">
        <v>433</v>
      </c>
      <c r="E58" s="30">
        <f>340384/2</f>
        <v>170192</v>
      </c>
      <c r="F58" s="27">
        <v>2</v>
      </c>
      <c r="G58" s="31">
        <f>5.680473/2</f>
        <v>2.8402365000000001</v>
      </c>
      <c r="H58" s="30">
        <f t="shared" si="4"/>
        <v>179880</v>
      </c>
      <c r="I58" s="27">
        <f t="shared" si="1"/>
        <v>1.06</v>
      </c>
      <c r="J58" s="27">
        <f t="shared" si="2"/>
        <v>2.5819999999999999</v>
      </c>
    </row>
    <row r="59" spans="1:10" ht="30" customHeight="1" x14ac:dyDescent="0.2">
      <c r="A59" s="27"/>
      <c r="B59" s="27" t="s">
        <v>429</v>
      </c>
      <c r="C59" s="27" t="s">
        <v>434</v>
      </c>
      <c r="D59" s="24" t="s">
        <v>435</v>
      </c>
      <c r="E59" s="30">
        <f>24156*6</f>
        <v>144936</v>
      </c>
      <c r="F59" s="27">
        <v>1</v>
      </c>
      <c r="G59" s="31">
        <v>2.3668640000000001</v>
      </c>
      <c r="H59" s="30">
        <f t="shared" si="4"/>
        <v>149900</v>
      </c>
      <c r="I59" s="27">
        <f t="shared" si="1"/>
        <v>1.03</v>
      </c>
      <c r="J59" s="27">
        <f t="shared" si="2"/>
        <v>0.66100000000000003</v>
      </c>
    </row>
    <row r="60" spans="1:10" ht="30" customHeight="1" x14ac:dyDescent="0.2">
      <c r="A60" s="27"/>
      <c r="B60" s="27" t="s">
        <v>429</v>
      </c>
      <c r="C60" s="27" t="s">
        <v>434</v>
      </c>
      <c r="D60" s="24" t="s">
        <v>370</v>
      </c>
      <c r="E60" s="30">
        <f>16104*6</f>
        <v>96624</v>
      </c>
      <c r="F60" s="27">
        <v>1</v>
      </c>
      <c r="G60" s="31">
        <f>ROUND(1.183432+100*16104/6333290,6)</f>
        <v>1.4377070000000001</v>
      </c>
      <c r="H60" s="30">
        <f t="shared" si="4"/>
        <v>91054</v>
      </c>
      <c r="I60" s="27">
        <f t="shared" si="1"/>
        <v>0.94</v>
      </c>
      <c r="J60" s="27">
        <f t="shared" si="2"/>
        <v>-0.74199999999999999</v>
      </c>
    </row>
    <row r="61" spans="1:10" ht="30" customHeight="1" x14ac:dyDescent="0.2">
      <c r="A61" s="27"/>
      <c r="B61" s="27" t="s">
        <v>429</v>
      </c>
      <c r="C61" s="27" t="s">
        <v>212</v>
      </c>
      <c r="D61" s="24"/>
      <c r="E61" s="30">
        <f>ROUND(357718/5,0)</f>
        <v>71544</v>
      </c>
      <c r="F61" s="27">
        <v>4</v>
      </c>
      <c r="G61" s="31">
        <f>ROUND(4.615384/4,6)</f>
        <v>1.1538459999999999</v>
      </c>
      <c r="H61" s="30">
        <f t="shared" si="4"/>
        <v>73076</v>
      </c>
      <c r="I61" s="27">
        <f t="shared" si="1"/>
        <v>1.02</v>
      </c>
      <c r="J61" s="27">
        <f t="shared" si="2"/>
        <v>0.81699999999999995</v>
      </c>
    </row>
    <row r="62" spans="1:10" ht="30" customHeight="1" x14ac:dyDescent="0.2">
      <c r="A62" s="27"/>
      <c r="B62" s="27" t="s">
        <v>429</v>
      </c>
      <c r="C62" s="27" t="s">
        <v>374</v>
      </c>
      <c r="D62" s="24"/>
      <c r="E62" s="30">
        <f>50050+14284</f>
        <v>64334</v>
      </c>
      <c r="F62" s="27">
        <v>5</v>
      </c>
      <c r="G62" s="31">
        <f>ROUND(5.2071/5,6)</f>
        <v>1.04142</v>
      </c>
      <c r="H62" s="30">
        <f t="shared" si="4"/>
        <v>65956</v>
      </c>
      <c r="I62" s="27">
        <f t="shared" si="1"/>
        <v>1.03</v>
      </c>
      <c r="J62" s="27">
        <f t="shared" si="2"/>
        <v>1.081</v>
      </c>
    </row>
    <row r="63" spans="1:10" ht="30" customHeight="1" x14ac:dyDescent="0.2">
      <c r="A63" s="27"/>
      <c r="B63" s="27" t="s">
        <v>429</v>
      </c>
      <c r="C63" s="27" t="s">
        <v>380</v>
      </c>
      <c r="D63" s="24" t="s">
        <v>201</v>
      </c>
      <c r="E63" s="30">
        <f>45045+14140</f>
        <v>59185</v>
      </c>
      <c r="F63" s="27">
        <v>6</v>
      </c>
      <c r="G63" s="31">
        <f>ROUND(5.680473/6,6)</f>
        <v>0.94674599999999998</v>
      </c>
      <c r="H63" s="30">
        <f t="shared" si="4"/>
        <v>59960</v>
      </c>
      <c r="I63" s="27">
        <f t="shared" si="1"/>
        <v>1.01</v>
      </c>
      <c r="J63" s="27">
        <f t="shared" si="2"/>
        <v>0.62</v>
      </c>
    </row>
    <row r="64" spans="1:10" ht="30" customHeight="1" x14ac:dyDescent="0.2">
      <c r="A64" s="27"/>
      <c r="B64" s="27" t="s">
        <v>429</v>
      </c>
      <c r="C64" s="27" t="s">
        <v>436</v>
      </c>
      <c r="D64" s="24"/>
      <c r="E64" s="30">
        <f>171616/2</f>
        <v>85808</v>
      </c>
      <c r="F64" s="27">
        <v>2</v>
      </c>
      <c r="G64" s="31">
        <f>ROUND(2.721893/2,6)</f>
        <v>1.3609469999999999</v>
      </c>
      <c r="H64" s="30">
        <f t="shared" si="4"/>
        <v>86193</v>
      </c>
      <c r="I64" s="27">
        <f t="shared" si="1"/>
        <v>1</v>
      </c>
      <c r="J64" s="27">
        <f t="shared" si="2"/>
        <v>0.10299999999999999</v>
      </c>
    </row>
    <row r="65" spans="1:10" ht="30" customHeight="1" x14ac:dyDescent="0.2">
      <c r="A65" s="27"/>
      <c r="B65" s="27" t="s">
        <v>429</v>
      </c>
      <c r="C65" s="27" t="s">
        <v>437</v>
      </c>
      <c r="D65" s="24" t="s">
        <v>438</v>
      </c>
      <c r="E65" s="30">
        <v>193002</v>
      </c>
      <c r="F65" s="27">
        <v>1</v>
      </c>
      <c r="G65" s="31">
        <v>2.95858</v>
      </c>
      <c r="H65" s="30">
        <f t="shared" si="4"/>
        <v>187375</v>
      </c>
      <c r="I65" s="27">
        <f t="shared" si="1"/>
        <v>0.97</v>
      </c>
      <c r="J65" s="27">
        <f t="shared" si="2"/>
        <v>-0.75</v>
      </c>
    </row>
    <row r="66" spans="1:10" ht="30" customHeight="1" x14ac:dyDescent="0.2">
      <c r="A66" s="27"/>
      <c r="B66" s="27" t="s">
        <v>429</v>
      </c>
      <c r="C66" s="27" t="s">
        <v>439</v>
      </c>
      <c r="D66" s="24"/>
      <c r="E66" s="30">
        <f>677205/F66</f>
        <v>112867.5</v>
      </c>
      <c r="F66" s="27">
        <v>6</v>
      </c>
      <c r="G66" s="31">
        <f>10.769231/F66</f>
        <v>1.7948718333333333</v>
      </c>
      <c r="H66" s="30">
        <f t="shared" si="4"/>
        <v>113674</v>
      </c>
      <c r="I66" s="27">
        <f t="shared" si="1"/>
        <v>1.01</v>
      </c>
      <c r="J66" s="27">
        <f t="shared" si="2"/>
        <v>0.64500000000000002</v>
      </c>
    </row>
    <row r="67" spans="1:10" ht="30" customHeight="1" x14ac:dyDescent="0.2">
      <c r="A67" s="27"/>
      <c r="B67" s="27" t="s">
        <v>440</v>
      </c>
      <c r="C67" s="27" t="s">
        <v>416</v>
      </c>
      <c r="D67" s="24" t="s">
        <v>441</v>
      </c>
      <c r="E67" s="30">
        <f>ROUND(217188/8,0)</f>
        <v>27149</v>
      </c>
      <c r="F67" s="27">
        <v>8</v>
      </c>
      <c r="G67" s="31">
        <f>ROUND(3.431952/8,6)</f>
        <v>0.42899399999999999</v>
      </c>
      <c r="H67" s="30">
        <f t="shared" si="4"/>
        <v>27169</v>
      </c>
      <c r="I67" s="27">
        <f t="shared" si="1"/>
        <v>1</v>
      </c>
      <c r="J67" s="27">
        <f t="shared" si="2"/>
        <v>2.1999999999999999E-2</v>
      </c>
    </row>
    <row r="68" spans="1:10" ht="30" customHeight="1" x14ac:dyDescent="0.2">
      <c r="A68" s="27"/>
      <c r="B68" s="27" t="s">
        <v>440</v>
      </c>
      <c r="C68" s="27" t="s">
        <v>416</v>
      </c>
      <c r="D68" s="24" t="s">
        <v>442</v>
      </c>
      <c r="E68" s="30">
        <v>30076</v>
      </c>
      <c r="F68" s="27">
        <v>7</v>
      </c>
      <c r="G68" s="31">
        <f>ROUND(3.313609/7,6)</f>
        <v>0.47337299999999999</v>
      </c>
      <c r="H68" s="30">
        <f t="shared" si="4"/>
        <v>29980</v>
      </c>
      <c r="I68" s="27">
        <f t="shared" si="1"/>
        <v>1</v>
      </c>
      <c r="J68" s="27">
        <f t="shared" si="2"/>
        <v>-8.8999999999999996E-2</v>
      </c>
    </row>
    <row r="69" spans="1:10" ht="30" customHeight="1" x14ac:dyDescent="0.2">
      <c r="A69" s="27"/>
      <c r="B69" s="27" t="s">
        <v>440</v>
      </c>
      <c r="C69" s="27" t="s">
        <v>443</v>
      </c>
      <c r="D69" s="24" t="s">
        <v>444</v>
      </c>
      <c r="E69" s="30">
        <f>606793/F69</f>
        <v>43342.357142857145</v>
      </c>
      <c r="F69" s="27">
        <v>14</v>
      </c>
      <c r="G69" s="31">
        <f>9.704142/F69</f>
        <v>0.69315299999999991</v>
      </c>
      <c r="H69" s="30">
        <f t="shared" si="4"/>
        <v>43899</v>
      </c>
      <c r="I69" s="27">
        <f t="shared" si="1"/>
        <v>1.01</v>
      </c>
      <c r="J69" s="27">
        <f t="shared" si="2"/>
        <v>1.0389999999999999</v>
      </c>
    </row>
    <row r="70" spans="1:10" ht="30" customHeight="1" x14ac:dyDescent="0.2">
      <c r="A70" s="27"/>
      <c r="B70" s="27" t="s">
        <v>440</v>
      </c>
      <c r="C70" s="27" t="s">
        <v>126</v>
      </c>
      <c r="D70" s="24" t="s">
        <v>445</v>
      </c>
      <c r="E70" s="30">
        <f>672619/F70</f>
        <v>35401</v>
      </c>
      <c r="F70" s="27">
        <v>19</v>
      </c>
      <c r="G70" s="31">
        <f>10.650888/F70</f>
        <v>0.56057305263157897</v>
      </c>
      <c r="H70" s="30">
        <f t="shared" si="4"/>
        <v>35503</v>
      </c>
      <c r="I70" s="27">
        <f t="shared" si="1"/>
        <v>1</v>
      </c>
      <c r="J70" s="27">
        <f t="shared" si="2"/>
        <v>0.25800000000000001</v>
      </c>
    </row>
    <row r="71" spans="1:10" ht="30" customHeight="1" x14ac:dyDescent="0.2">
      <c r="A71" s="27"/>
      <c r="B71" s="27" t="s">
        <v>440</v>
      </c>
      <c r="C71" s="27" t="s">
        <v>446</v>
      </c>
      <c r="D71" s="24" t="s">
        <v>447</v>
      </c>
      <c r="E71" s="30">
        <f>265529-3550</f>
        <v>261979</v>
      </c>
      <c r="F71" s="27">
        <v>1</v>
      </c>
      <c r="G71" s="31">
        <f>ROUND(4.023669,6)</f>
        <v>4.0236689999999999</v>
      </c>
      <c r="H71" s="30">
        <f t="shared" si="4"/>
        <v>254831</v>
      </c>
      <c r="I71" s="27">
        <f t="shared" si="1"/>
        <v>0.97</v>
      </c>
      <c r="J71" s="27">
        <f t="shared" si="2"/>
        <v>-0.95199999999999996</v>
      </c>
    </row>
    <row r="72" spans="1:10" ht="30" customHeight="1" x14ac:dyDescent="0.2">
      <c r="A72" s="27"/>
      <c r="B72" s="27" t="s">
        <v>440</v>
      </c>
      <c r="C72" s="27" t="s">
        <v>395</v>
      </c>
      <c r="D72" s="24" t="s">
        <v>441</v>
      </c>
      <c r="E72" s="30">
        <f>ROUND(223652/10,0)</f>
        <v>22365</v>
      </c>
      <c r="F72" s="27">
        <v>10</v>
      </c>
      <c r="G72" s="31">
        <f>ROUND(3.431952/10,6)</f>
        <v>0.34319499999999997</v>
      </c>
      <c r="H72" s="30">
        <f t="shared" si="4"/>
        <v>21736</v>
      </c>
      <c r="I72" s="27">
        <f t="shared" si="1"/>
        <v>0.97</v>
      </c>
      <c r="J72" s="27">
        <f t="shared" si="2"/>
        <v>-0.83899999999999997</v>
      </c>
    </row>
    <row r="73" spans="1:10" ht="30" customHeight="1" x14ac:dyDescent="0.2">
      <c r="A73" s="27"/>
      <c r="B73" s="27" t="s">
        <v>440</v>
      </c>
      <c r="C73" s="27" t="s">
        <v>395</v>
      </c>
      <c r="D73" s="24" t="s">
        <v>442</v>
      </c>
      <c r="E73" s="30">
        <f>247770/10</f>
        <v>24777</v>
      </c>
      <c r="F73" s="27">
        <v>9</v>
      </c>
      <c r="G73" s="31">
        <f>ROUND(3.431952/9,6)</f>
        <v>0.381328</v>
      </c>
      <c r="H73" s="30">
        <f t="shared" si="4"/>
        <v>24151</v>
      </c>
      <c r="I73" s="27">
        <f t="shared" si="1"/>
        <v>0.97</v>
      </c>
      <c r="J73" s="27">
        <f t="shared" si="2"/>
        <v>-0.751</v>
      </c>
    </row>
    <row r="74" spans="1:10" ht="30" customHeight="1" x14ac:dyDescent="0.2">
      <c r="A74" s="27"/>
      <c r="B74" s="27" t="s">
        <v>440</v>
      </c>
      <c r="C74" s="27" t="s">
        <v>448</v>
      </c>
      <c r="D74" s="24" t="s">
        <v>449</v>
      </c>
      <c r="E74" s="30">
        <f>130831+1764</f>
        <v>132595</v>
      </c>
      <c r="F74" s="27">
        <v>1</v>
      </c>
      <c r="G74" s="31">
        <f>ROUND(2.011834+(1764)/6333290*100,6)</f>
        <v>2.0396869999999998</v>
      </c>
      <c r="H74" s="30">
        <f t="shared" si="4"/>
        <v>129179</v>
      </c>
      <c r="I74" s="27">
        <f t="shared" si="1"/>
        <v>0.97</v>
      </c>
      <c r="J74" s="27">
        <f t="shared" si="2"/>
        <v>-0.45500000000000002</v>
      </c>
    </row>
    <row r="75" spans="1:10" ht="30" customHeight="1" x14ac:dyDescent="0.2">
      <c r="A75" s="27"/>
      <c r="B75" s="27" t="s">
        <v>440</v>
      </c>
      <c r="C75" s="27" t="s">
        <v>450</v>
      </c>
      <c r="D75" s="24" t="s">
        <v>441</v>
      </c>
      <c r="E75" s="30">
        <v>14769</v>
      </c>
      <c r="F75" s="27">
        <v>11</v>
      </c>
      <c r="G75" s="31">
        <f>ROUND(2.485207/11,6)</f>
        <v>0.22592799999999999</v>
      </c>
      <c r="H75" s="30">
        <f t="shared" si="4"/>
        <v>14309</v>
      </c>
      <c r="I75" s="27">
        <f t="shared" si="1"/>
        <v>0.97</v>
      </c>
      <c r="J75" s="27">
        <f t="shared" si="2"/>
        <v>-0.67500000000000004</v>
      </c>
    </row>
    <row r="76" spans="1:10" ht="30" customHeight="1" x14ac:dyDescent="0.2">
      <c r="A76" s="27"/>
      <c r="B76" s="27" t="s">
        <v>440</v>
      </c>
      <c r="C76" s="27" t="s">
        <v>450</v>
      </c>
      <c r="D76" s="24" t="s">
        <v>442</v>
      </c>
      <c r="E76" s="30">
        <f>ROUND(414672/16,0)</f>
        <v>25917</v>
      </c>
      <c r="F76" s="27">
        <v>16</v>
      </c>
      <c r="G76" s="31">
        <f>ROUND(6.627219/16,6)</f>
        <v>0.41420099999999999</v>
      </c>
      <c r="H76" s="30">
        <f t="shared" si="4"/>
        <v>26233</v>
      </c>
      <c r="I76" s="27">
        <f t="shared" si="1"/>
        <v>1.01</v>
      </c>
      <c r="J76" s="27">
        <f t="shared" si="2"/>
        <v>0.67300000000000004</v>
      </c>
    </row>
    <row r="77" spans="1:10" ht="30" customHeight="1" x14ac:dyDescent="0.2">
      <c r="A77" s="27"/>
      <c r="B77" s="27" t="s">
        <v>440</v>
      </c>
      <c r="C77" s="27" t="s">
        <v>380</v>
      </c>
      <c r="D77" s="24" t="s">
        <v>441</v>
      </c>
      <c r="E77" s="30">
        <f>ROUND(139663/6,0)</f>
        <v>23277</v>
      </c>
      <c r="F77" s="27">
        <v>6</v>
      </c>
      <c r="G77" s="31">
        <f t="shared" ref="G77:G78" si="5">ROUND(2.24852/6,6)</f>
        <v>0.374753</v>
      </c>
      <c r="H77" s="30">
        <f t="shared" si="4"/>
        <v>23734</v>
      </c>
      <c r="I77" s="27">
        <f t="shared" si="1"/>
        <v>1.02</v>
      </c>
      <c r="J77" s="27">
        <f t="shared" si="2"/>
        <v>0.36599999999999999</v>
      </c>
    </row>
    <row r="78" spans="1:10" ht="30" customHeight="1" x14ac:dyDescent="0.2">
      <c r="A78" s="27"/>
      <c r="B78" s="27" t="s">
        <v>440</v>
      </c>
      <c r="C78" s="27" t="s">
        <v>380</v>
      </c>
      <c r="D78" s="24" t="s">
        <v>442</v>
      </c>
      <c r="E78" s="30">
        <v>23961</v>
      </c>
      <c r="F78" s="27">
        <v>6</v>
      </c>
      <c r="G78" s="31">
        <f t="shared" si="5"/>
        <v>0.374753</v>
      </c>
      <c r="H78" s="30">
        <f t="shared" si="4"/>
        <v>23734</v>
      </c>
      <c r="I78" s="27">
        <f t="shared" si="1"/>
        <v>0.99</v>
      </c>
      <c r="J78" s="27">
        <f t="shared" si="2"/>
        <v>-0.18099999999999999</v>
      </c>
    </row>
    <row r="79" spans="1:10" ht="30" customHeight="1" x14ac:dyDescent="0.2">
      <c r="A79" s="27"/>
      <c r="B79" s="27" t="s">
        <v>440</v>
      </c>
      <c r="C79" s="27" t="s">
        <v>381</v>
      </c>
      <c r="D79" s="24" t="s">
        <v>441</v>
      </c>
      <c r="E79" s="30">
        <v>17604</v>
      </c>
      <c r="F79" s="27">
        <v>5</v>
      </c>
      <c r="G79" s="31">
        <f>ROUND(1.420118/5,6)</f>
        <v>0.284024</v>
      </c>
      <c r="H79" s="30">
        <f t="shared" si="4"/>
        <v>17988</v>
      </c>
      <c r="I79" s="27">
        <f t="shared" si="1"/>
        <v>1.02</v>
      </c>
      <c r="J79" s="27">
        <f t="shared" si="2"/>
        <v>0.25600000000000001</v>
      </c>
    </row>
    <row r="80" spans="1:10" ht="30" customHeight="1" x14ac:dyDescent="0.2">
      <c r="A80" s="27"/>
      <c r="B80" s="27" t="s">
        <v>440</v>
      </c>
      <c r="C80" s="27" t="s">
        <v>381</v>
      </c>
      <c r="D80" s="24" t="s">
        <v>442</v>
      </c>
      <c r="E80" s="30">
        <v>19500</v>
      </c>
      <c r="F80" s="27">
        <v>8</v>
      </c>
      <c r="G80" s="31">
        <f>ROUND(2.485207/8,6)</f>
        <v>0.31065100000000001</v>
      </c>
      <c r="H80" s="30">
        <f t="shared" si="4"/>
        <v>19674</v>
      </c>
      <c r="I80" s="27">
        <f t="shared" si="1"/>
        <v>1.01</v>
      </c>
      <c r="J80" s="27">
        <f t="shared" si="2"/>
        <v>0.186</v>
      </c>
    </row>
    <row r="81" spans="1:10" ht="30" customHeight="1" x14ac:dyDescent="0.2">
      <c r="A81" s="27"/>
      <c r="B81" s="27" t="s">
        <v>440</v>
      </c>
      <c r="C81" s="27" t="s">
        <v>234</v>
      </c>
      <c r="D81" s="24" t="s">
        <v>441</v>
      </c>
      <c r="E81" s="30">
        <v>138585</v>
      </c>
      <c r="F81" s="27">
        <v>1</v>
      </c>
      <c r="G81" s="31">
        <v>2.2485200000000001</v>
      </c>
      <c r="H81" s="30">
        <f t="shared" si="4"/>
        <v>142405</v>
      </c>
      <c r="I81" s="27">
        <f t="shared" si="1"/>
        <v>1.03</v>
      </c>
      <c r="J81" s="27">
        <f t="shared" si="2"/>
        <v>0.50900000000000001</v>
      </c>
    </row>
    <row r="82" spans="1:10" ht="30" customHeight="1" x14ac:dyDescent="0.2">
      <c r="A82" s="27"/>
      <c r="B82" s="27" t="s">
        <v>440</v>
      </c>
      <c r="C82" s="27" t="s">
        <v>234</v>
      </c>
      <c r="D82" s="24" t="s">
        <v>442</v>
      </c>
      <c r="E82" s="30">
        <v>156865</v>
      </c>
      <c r="F82" s="27">
        <v>1</v>
      </c>
      <c r="G82" s="31">
        <v>2.4852069999999999</v>
      </c>
      <c r="H82" s="30">
        <f t="shared" si="4"/>
        <v>157395</v>
      </c>
      <c r="I82" s="27">
        <f t="shared" si="1"/>
        <v>1</v>
      </c>
      <c r="J82" s="27">
        <f t="shared" si="2"/>
        <v>7.0999999999999994E-2</v>
      </c>
    </row>
    <row r="83" spans="1:10" ht="30" customHeight="1" x14ac:dyDescent="0.2">
      <c r="A83" s="27"/>
      <c r="B83" s="27" t="s">
        <v>440</v>
      </c>
      <c r="C83" s="27" t="s">
        <v>236</v>
      </c>
      <c r="D83" s="24"/>
      <c r="E83" s="30">
        <v>21228</v>
      </c>
      <c r="F83" s="27">
        <v>7</v>
      </c>
      <c r="G83" s="31">
        <f>ROUND(3.313609/7,6)</f>
        <v>0.47337299999999999</v>
      </c>
      <c r="H83" s="30">
        <f>ROUND(G83/100*6333290,0)/1.257</f>
        <v>23850.437549721562</v>
      </c>
      <c r="I83" s="27">
        <f t="shared" si="1"/>
        <v>1.1200000000000001</v>
      </c>
      <c r="J83" s="27">
        <f t="shared" si="2"/>
        <v>8.1630000000000003</v>
      </c>
    </row>
    <row r="84" spans="1:10" ht="30" customHeight="1" x14ac:dyDescent="0.2">
      <c r="A84" s="27"/>
      <c r="B84" s="27" t="s">
        <v>451</v>
      </c>
      <c r="C84" s="27" t="s">
        <v>452</v>
      </c>
      <c r="D84" s="24" t="s">
        <v>453</v>
      </c>
      <c r="E84" s="30">
        <f>ROUND(358260/7,0)</f>
        <v>51180</v>
      </c>
      <c r="F84" s="27">
        <v>7</v>
      </c>
      <c r="G84" s="31">
        <f>ROUND(5.680473/7,6)</f>
        <v>0.811496</v>
      </c>
      <c r="H84" s="30">
        <f t="shared" ref="H84:H121" si="6">ROUND(G84/100*6333290,0)</f>
        <v>51394</v>
      </c>
      <c r="I84" s="27">
        <f t="shared" si="1"/>
        <v>1</v>
      </c>
      <c r="J84" s="27">
        <f t="shared" si="2"/>
        <v>0.2</v>
      </c>
    </row>
    <row r="85" spans="1:10" ht="30" customHeight="1" x14ac:dyDescent="0.2">
      <c r="A85" s="27"/>
      <c r="B85" s="27" t="s">
        <v>451</v>
      </c>
      <c r="C85" s="27" t="s">
        <v>454</v>
      </c>
      <c r="D85" s="24"/>
      <c r="E85" s="30">
        <v>12196</v>
      </c>
      <c r="F85" s="27">
        <v>12</v>
      </c>
      <c r="G85" s="31">
        <v>0.197239</v>
      </c>
      <c r="H85" s="30">
        <f t="shared" si="6"/>
        <v>12492</v>
      </c>
      <c r="I85" s="27">
        <f t="shared" si="1"/>
        <v>1.02</v>
      </c>
      <c r="J85" s="27">
        <f t="shared" si="2"/>
        <v>0.47299999999999998</v>
      </c>
    </row>
    <row r="86" spans="1:10" ht="30" customHeight="1" x14ac:dyDescent="0.2">
      <c r="A86" s="27"/>
      <c r="B86" s="27" t="s">
        <v>451</v>
      </c>
      <c r="C86" s="27" t="s">
        <v>455</v>
      </c>
      <c r="D86" s="24"/>
      <c r="E86" s="30">
        <f>2874+11004</f>
        <v>13878</v>
      </c>
      <c r="F86" s="27">
        <v>14</v>
      </c>
      <c r="G86" s="31">
        <f>3.195266/F86</f>
        <v>0.22823328571428572</v>
      </c>
      <c r="H86" s="30">
        <f t="shared" si="6"/>
        <v>14455</v>
      </c>
      <c r="I86" s="27">
        <f t="shared" si="1"/>
        <v>1.04</v>
      </c>
      <c r="J86" s="27">
        <f t="shared" si="2"/>
        <v>1.0760000000000001</v>
      </c>
    </row>
    <row r="87" spans="1:10" ht="30" customHeight="1" x14ac:dyDescent="0.2">
      <c r="A87" s="27"/>
      <c r="B87" s="27" t="s">
        <v>456</v>
      </c>
      <c r="C87" s="27" t="s">
        <v>416</v>
      </c>
      <c r="D87" s="24" t="s">
        <v>457</v>
      </c>
      <c r="E87" s="30">
        <v>20547</v>
      </c>
      <c r="F87" s="27">
        <v>4</v>
      </c>
      <c r="G87" s="31">
        <f>ROUND(1.183432/4,6)</f>
        <v>0.29585800000000001</v>
      </c>
      <c r="H87" s="30">
        <f t="shared" si="6"/>
        <v>18738</v>
      </c>
      <c r="I87" s="27">
        <f t="shared" si="1"/>
        <v>0.91</v>
      </c>
      <c r="J87" s="27">
        <f t="shared" si="2"/>
        <v>-0.96399999999999997</v>
      </c>
    </row>
    <row r="88" spans="1:10" ht="30" customHeight="1" x14ac:dyDescent="0.2">
      <c r="A88" s="27"/>
      <c r="B88" s="27" t="s">
        <v>456</v>
      </c>
      <c r="C88" s="27" t="s">
        <v>416</v>
      </c>
      <c r="D88" s="24" t="s">
        <v>458</v>
      </c>
      <c r="E88" s="30">
        <v>30807</v>
      </c>
      <c r="F88" s="27">
        <v>8</v>
      </c>
      <c r="G88" s="31">
        <f>ROUND(3.786982/8,6)</f>
        <v>0.47337299999999999</v>
      </c>
      <c r="H88" s="30">
        <f t="shared" si="6"/>
        <v>29980</v>
      </c>
      <c r="I88" s="27">
        <f t="shared" si="1"/>
        <v>0.97</v>
      </c>
      <c r="J88" s="27">
        <f t="shared" si="2"/>
        <v>-0.88100000000000001</v>
      </c>
    </row>
    <row r="89" spans="1:10" ht="30" customHeight="1" x14ac:dyDescent="0.2">
      <c r="A89" s="27"/>
      <c r="B89" s="27" t="s">
        <v>456</v>
      </c>
      <c r="C89" s="27" t="s">
        <v>459</v>
      </c>
      <c r="D89" s="24" t="s">
        <v>460</v>
      </c>
      <c r="E89" s="30">
        <v>105957</v>
      </c>
      <c r="F89" s="27">
        <v>1</v>
      </c>
      <c r="G89" s="31">
        <v>1.6568050000000001</v>
      </c>
      <c r="H89" s="30">
        <f t="shared" si="6"/>
        <v>104930</v>
      </c>
      <c r="I89" s="27">
        <f t="shared" si="1"/>
        <v>0.99</v>
      </c>
      <c r="J89" s="27">
        <f t="shared" si="2"/>
        <v>-0.13700000000000001</v>
      </c>
    </row>
    <row r="90" spans="1:10" ht="30" customHeight="1" x14ac:dyDescent="0.2">
      <c r="A90" s="27"/>
      <c r="B90" s="27" t="s">
        <v>461</v>
      </c>
      <c r="C90" s="27" t="s">
        <v>369</v>
      </c>
      <c r="D90" s="24"/>
      <c r="E90" s="30">
        <v>20836</v>
      </c>
      <c r="F90" s="27">
        <v>17</v>
      </c>
      <c r="G90" s="31">
        <f>5.680473/F90</f>
        <v>0.33414547058823529</v>
      </c>
      <c r="H90" s="30">
        <f t="shared" si="6"/>
        <v>21162</v>
      </c>
      <c r="I90" s="27">
        <f t="shared" si="1"/>
        <v>1.02</v>
      </c>
      <c r="J90" s="27">
        <f t="shared" si="2"/>
        <v>0.73899999999999999</v>
      </c>
    </row>
    <row r="91" spans="1:10" ht="30" customHeight="1" x14ac:dyDescent="0.2">
      <c r="A91" s="27"/>
      <c r="B91" s="27" t="s">
        <v>461</v>
      </c>
      <c r="C91" s="27" t="s">
        <v>416</v>
      </c>
      <c r="D91" s="24"/>
      <c r="E91" s="30">
        <v>25495</v>
      </c>
      <c r="F91" s="27">
        <v>16</v>
      </c>
      <c r="G91" s="31">
        <f>6.390532/F91</f>
        <v>0.39940825000000002</v>
      </c>
      <c r="H91" s="30">
        <f t="shared" si="6"/>
        <v>25296</v>
      </c>
      <c r="I91" s="27">
        <f t="shared" si="1"/>
        <v>0.99</v>
      </c>
      <c r="J91" s="27">
        <f t="shared" si="2"/>
        <v>-0.42499999999999999</v>
      </c>
    </row>
    <row r="92" spans="1:10" ht="30" customHeight="1" x14ac:dyDescent="0.2">
      <c r="A92" s="27"/>
      <c r="B92" s="27" t="s">
        <v>461</v>
      </c>
      <c r="C92" s="27" t="s">
        <v>462</v>
      </c>
      <c r="D92" s="24" t="s">
        <v>463</v>
      </c>
      <c r="E92" s="30">
        <v>23631</v>
      </c>
      <c r="F92" s="27">
        <v>33</v>
      </c>
      <c r="G92" s="31">
        <f>12.781065/F92</f>
        <v>0.38730500000000001</v>
      </c>
      <c r="H92" s="30">
        <f t="shared" si="6"/>
        <v>24529</v>
      </c>
      <c r="I92" s="27">
        <f t="shared" si="1"/>
        <v>1.04</v>
      </c>
      <c r="J92" s="27">
        <f t="shared" si="2"/>
        <v>3.9489999999999998</v>
      </c>
    </row>
    <row r="93" spans="1:10" ht="30" customHeight="1" x14ac:dyDescent="0.2">
      <c r="A93" s="27"/>
      <c r="B93" s="27" t="s">
        <v>461</v>
      </c>
      <c r="C93" s="27" t="s">
        <v>216</v>
      </c>
      <c r="D93" s="24" t="s">
        <v>464</v>
      </c>
      <c r="E93" s="30">
        <v>112575</v>
      </c>
      <c r="F93" s="27">
        <v>5</v>
      </c>
      <c r="G93" s="31">
        <f>10.769231/F93</f>
        <v>2.1538461999999998</v>
      </c>
      <c r="H93" s="30">
        <f t="shared" si="6"/>
        <v>136409</v>
      </c>
      <c r="I93" s="27">
        <f t="shared" si="1"/>
        <v>1.21</v>
      </c>
      <c r="J93" s="27">
        <f t="shared" si="2"/>
        <v>15.879</v>
      </c>
    </row>
    <row r="94" spans="1:10" ht="30" customHeight="1" x14ac:dyDescent="0.2">
      <c r="A94" s="27"/>
      <c r="B94" s="27" t="s">
        <v>461</v>
      </c>
      <c r="C94" s="27" t="s">
        <v>381</v>
      </c>
      <c r="D94" s="24"/>
      <c r="E94" s="30">
        <v>15783</v>
      </c>
      <c r="F94" s="27">
        <v>30</v>
      </c>
      <c r="G94" s="31">
        <f>7.455621/F94</f>
        <v>0.24852069999999998</v>
      </c>
      <c r="H94" s="30">
        <f t="shared" si="6"/>
        <v>15740</v>
      </c>
      <c r="I94" s="27">
        <f t="shared" si="1"/>
        <v>1</v>
      </c>
      <c r="J94" s="27">
        <f t="shared" si="2"/>
        <v>-0.17399999999999999</v>
      </c>
    </row>
    <row r="95" spans="1:10" ht="30" customHeight="1" x14ac:dyDescent="0.2">
      <c r="A95" s="27"/>
      <c r="B95" s="27" t="s">
        <v>461</v>
      </c>
      <c r="C95" s="27" t="s">
        <v>465</v>
      </c>
      <c r="D95" s="24" t="s">
        <v>466</v>
      </c>
      <c r="E95" s="30">
        <v>47690</v>
      </c>
      <c r="F95" s="27">
        <v>12</v>
      </c>
      <c r="G95" s="31">
        <f>9.112426/F95</f>
        <v>0.75936883333333327</v>
      </c>
      <c r="H95" s="30">
        <f t="shared" si="6"/>
        <v>48093</v>
      </c>
      <c r="I95" s="27">
        <f t="shared" si="1"/>
        <v>1.01</v>
      </c>
      <c r="J95" s="27">
        <f t="shared" si="2"/>
        <v>0.64400000000000002</v>
      </c>
    </row>
    <row r="96" spans="1:10" ht="30" customHeight="1" x14ac:dyDescent="0.2">
      <c r="A96" s="27"/>
      <c r="B96" s="27" t="s">
        <v>467</v>
      </c>
      <c r="C96" s="27" t="s">
        <v>369</v>
      </c>
      <c r="D96" s="24" t="s">
        <v>468</v>
      </c>
      <c r="E96" s="30">
        <v>50104</v>
      </c>
      <c r="F96" s="27">
        <v>7</v>
      </c>
      <c r="G96" s="31">
        <f>ROUND(6.627219/7,6)</f>
        <v>0.94674599999999998</v>
      </c>
      <c r="H96" s="30">
        <f t="shared" si="6"/>
        <v>59960</v>
      </c>
      <c r="I96" s="27">
        <f t="shared" si="1"/>
        <v>1.2</v>
      </c>
      <c r="J96" s="27">
        <f t="shared" si="2"/>
        <v>9.1929999999999996</v>
      </c>
    </row>
    <row r="97" spans="1:10" ht="30" customHeight="1" x14ac:dyDescent="0.2">
      <c r="A97" s="27"/>
      <c r="B97" s="27" t="s">
        <v>467</v>
      </c>
      <c r="C97" s="27" t="s">
        <v>369</v>
      </c>
      <c r="D97" s="24" t="s">
        <v>469</v>
      </c>
      <c r="E97" s="30">
        <v>14664</v>
      </c>
      <c r="F97" s="27">
        <v>25</v>
      </c>
      <c r="G97" s="31">
        <f>ROUND(6.153846/25,6)</f>
        <v>0.24615400000000001</v>
      </c>
      <c r="H97" s="30">
        <f t="shared" si="6"/>
        <v>15590</v>
      </c>
      <c r="I97" s="27">
        <f t="shared" si="1"/>
        <v>1.06</v>
      </c>
      <c r="J97" s="27">
        <f t="shared" si="2"/>
        <v>3.0830000000000002</v>
      </c>
    </row>
    <row r="98" spans="1:10" ht="30" customHeight="1" x14ac:dyDescent="0.2">
      <c r="A98" s="27"/>
      <c r="B98" s="27" t="s">
        <v>467</v>
      </c>
      <c r="C98" s="27" t="s">
        <v>416</v>
      </c>
      <c r="D98" s="24" t="s">
        <v>468</v>
      </c>
      <c r="E98" s="30">
        <v>65986</v>
      </c>
      <c r="F98" s="27">
        <v>6</v>
      </c>
      <c r="G98" s="31">
        <f>ROUND(6.508875/6,6)</f>
        <v>1.084813</v>
      </c>
      <c r="H98" s="30">
        <f t="shared" si="6"/>
        <v>68704</v>
      </c>
      <c r="I98" s="27">
        <f t="shared" si="1"/>
        <v>1.04</v>
      </c>
      <c r="J98" s="27">
        <f t="shared" si="2"/>
        <v>2.173</v>
      </c>
    </row>
    <row r="99" spans="1:10" ht="30" customHeight="1" x14ac:dyDescent="0.2">
      <c r="A99" s="27"/>
      <c r="B99" s="27" t="s">
        <v>467</v>
      </c>
      <c r="C99" s="27" t="s">
        <v>416</v>
      </c>
      <c r="D99" s="24" t="s">
        <v>469</v>
      </c>
      <c r="E99" s="30">
        <v>21996</v>
      </c>
      <c r="F99" s="27">
        <v>18</v>
      </c>
      <c r="G99" s="31">
        <f>ROUND(6.272189/18,6)</f>
        <v>0.34845500000000001</v>
      </c>
      <c r="H99" s="30">
        <f t="shared" si="6"/>
        <v>22069</v>
      </c>
      <c r="I99" s="27">
        <f t="shared" si="1"/>
        <v>1</v>
      </c>
      <c r="J99" s="27">
        <f t="shared" si="2"/>
        <v>0.17399999999999999</v>
      </c>
    </row>
    <row r="100" spans="1:10" ht="30" customHeight="1" x14ac:dyDescent="0.2">
      <c r="A100" s="27"/>
      <c r="B100" s="27" t="s">
        <v>467</v>
      </c>
      <c r="C100" s="27" t="s">
        <v>470</v>
      </c>
      <c r="D100" s="24" t="s">
        <v>468</v>
      </c>
      <c r="E100" s="30">
        <f>271074/F100/1.02666666666666</f>
        <v>44005.519480519768</v>
      </c>
      <c r="F100" s="27">
        <v>6</v>
      </c>
      <c r="G100" s="31">
        <f>5.2071/F100/1.02666666666666</f>
        <v>0.84530844155844698</v>
      </c>
      <c r="H100" s="30">
        <f t="shared" si="6"/>
        <v>53536</v>
      </c>
      <c r="I100" s="27">
        <f t="shared" si="1"/>
        <v>1.22</v>
      </c>
      <c r="J100" s="27">
        <f t="shared" si="2"/>
        <v>7.6189999999999998</v>
      </c>
    </row>
    <row r="101" spans="1:10" ht="30" customHeight="1" x14ac:dyDescent="0.2">
      <c r="A101" s="27"/>
      <c r="B101" s="27" t="s">
        <v>467</v>
      </c>
      <c r="C101" s="27" t="s">
        <v>470</v>
      </c>
      <c r="D101" s="24" t="s">
        <v>469</v>
      </c>
      <c r="E101" s="30">
        <f>102648/F101</f>
        <v>14664</v>
      </c>
      <c r="F101" s="27">
        <v>7</v>
      </c>
      <c r="G101" s="31">
        <f>1.656805/F101</f>
        <v>0.23668642857142858</v>
      </c>
      <c r="H101" s="30">
        <f t="shared" si="6"/>
        <v>14990</v>
      </c>
      <c r="I101" s="27">
        <f t="shared" si="1"/>
        <v>1.02</v>
      </c>
      <c r="J101" s="27">
        <f t="shared" si="2"/>
        <v>0.30399999999999999</v>
      </c>
    </row>
    <row r="102" spans="1:10" ht="30" customHeight="1" x14ac:dyDescent="0.2">
      <c r="A102" s="27"/>
      <c r="B102" s="27" t="s">
        <v>467</v>
      </c>
      <c r="C102" s="27" t="s">
        <v>471</v>
      </c>
      <c r="D102" s="24" t="s">
        <v>468</v>
      </c>
      <c r="E102" s="30">
        <f>16022+4*9680</f>
        <v>54742</v>
      </c>
      <c r="F102" s="27">
        <v>8</v>
      </c>
      <c r="G102" s="31">
        <f>ROUND(7.928994/8,6)</f>
        <v>0.991124</v>
      </c>
      <c r="H102" s="30">
        <f t="shared" si="6"/>
        <v>62771</v>
      </c>
      <c r="I102" s="27">
        <f t="shared" si="1"/>
        <v>1.1499999999999999</v>
      </c>
      <c r="J102" s="27">
        <f t="shared" si="2"/>
        <v>8.5579999999999998</v>
      </c>
    </row>
    <row r="103" spans="1:10" ht="30" customHeight="1" x14ac:dyDescent="0.2">
      <c r="A103" s="27"/>
      <c r="B103" s="27" t="s">
        <v>467</v>
      </c>
      <c r="C103" s="27" t="s">
        <v>471</v>
      </c>
      <c r="D103" s="24" t="s">
        <v>472</v>
      </c>
      <c r="E103" s="30">
        <f>240864/4</f>
        <v>60216</v>
      </c>
      <c r="F103" s="27">
        <v>4</v>
      </c>
      <c r="G103" s="31">
        <f>4.497041/4</f>
        <v>1.1242602500000001</v>
      </c>
      <c r="H103" s="30">
        <f t="shared" si="6"/>
        <v>71203</v>
      </c>
      <c r="I103" s="27">
        <f t="shared" si="1"/>
        <v>1.18</v>
      </c>
      <c r="J103" s="27">
        <f t="shared" si="2"/>
        <v>5.8559999999999999</v>
      </c>
    </row>
    <row r="104" spans="1:10" ht="30" customHeight="1" x14ac:dyDescent="0.2">
      <c r="A104" s="27"/>
      <c r="B104" s="27" t="s">
        <v>467</v>
      </c>
      <c r="C104" s="27" t="s">
        <v>471</v>
      </c>
      <c r="D104" s="24" t="s">
        <v>469</v>
      </c>
      <c r="E104" s="30">
        <v>16022</v>
      </c>
      <c r="F104" s="27">
        <v>33</v>
      </c>
      <c r="G104" s="31">
        <f>ROUND(9.230769/33,6)</f>
        <v>0.27972000000000002</v>
      </c>
      <c r="H104" s="30">
        <f t="shared" si="6"/>
        <v>17715</v>
      </c>
      <c r="I104" s="27">
        <f t="shared" si="1"/>
        <v>1.1100000000000001</v>
      </c>
      <c r="J104" s="27">
        <f t="shared" si="2"/>
        <v>7.4459999999999997</v>
      </c>
    </row>
    <row r="105" spans="1:10" ht="30" customHeight="1" x14ac:dyDescent="0.2">
      <c r="A105" s="27"/>
      <c r="B105" s="27" t="s">
        <v>467</v>
      </c>
      <c r="C105" s="27" t="s">
        <v>473</v>
      </c>
      <c r="D105" s="24" t="s">
        <v>474</v>
      </c>
      <c r="E105" s="30">
        <f>20611*2</f>
        <v>41222</v>
      </c>
      <c r="F105" s="27">
        <v>6</v>
      </c>
      <c r="G105" s="31">
        <f>3.905325/6</f>
        <v>0.65088749999999995</v>
      </c>
      <c r="H105" s="30">
        <f t="shared" si="6"/>
        <v>41223</v>
      </c>
      <c r="I105" s="27">
        <f t="shared" si="1"/>
        <v>1</v>
      </c>
      <c r="J105" s="27">
        <f t="shared" si="2"/>
        <v>0</v>
      </c>
    </row>
    <row r="106" spans="1:10" ht="30" customHeight="1" x14ac:dyDescent="0.2">
      <c r="A106" s="27"/>
      <c r="B106" s="27" t="s">
        <v>467</v>
      </c>
      <c r="C106" s="27" t="s">
        <v>475</v>
      </c>
      <c r="D106" s="24" t="s">
        <v>476</v>
      </c>
      <c r="E106" s="30">
        <f>657632/29*4/1.15</f>
        <v>78876.401799100466</v>
      </c>
      <c r="F106" s="27">
        <f>29/4</f>
        <v>7.25</v>
      </c>
      <c r="G106" s="31">
        <f>10.414201/29*4/1.15</f>
        <v>1.2490795802098953</v>
      </c>
      <c r="H106" s="30">
        <f t="shared" si="6"/>
        <v>79108</v>
      </c>
      <c r="I106" s="27">
        <f t="shared" si="1"/>
        <v>1</v>
      </c>
      <c r="J106" s="27">
        <f t="shared" si="2"/>
        <v>0.224</v>
      </c>
    </row>
    <row r="107" spans="1:10" ht="30" customHeight="1" x14ac:dyDescent="0.2">
      <c r="A107" s="27"/>
      <c r="B107" s="27" t="s">
        <v>467</v>
      </c>
      <c r="C107" s="27" t="s">
        <v>395</v>
      </c>
      <c r="D107" s="24" t="s">
        <v>468</v>
      </c>
      <c r="E107" s="30">
        <v>43991</v>
      </c>
      <c r="F107" s="27">
        <v>7</v>
      </c>
      <c r="G107" s="31">
        <f>ROUND(5.207101/7,6)</f>
        <v>0.74387199999999998</v>
      </c>
      <c r="H107" s="30">
        <f t="shared" si="6"/>
        <v>47112</v>
      </c>
      <c r="I107" s="27">
        <f t="shared" si="1"/>
        <v>1.07</v>
      </c>
      <c r="J107" s="27">
        <f t="shared" si="2"/>
        <v>2.911</v>
      </c>
    </row>
    <row r="108" spans="1:10" ht="30" customHeight="1" x14ac:dyDescent="0.2">
      <c r="A108" s="27"/>
      <c r="B108" s="27" t="s">
        <v>467</v>
      </c>
      <c r="C108" s="27" t="s">
        <v>395</v>
      </c>
      <c r="D108" s="24" t="s">
        <v>469</v>
      </c>
      <c r="E108" s="30">
        <v>14664</v>
      </c>
      <c r="F108" s="27">
        <v>31</v>
      </c>
      <c r="G108" s="31">
        <f>ROUND(7.337278/31,6)</f>
        <v>0.23668600000000001</v>
      </c>
      <c r="H108" s="30">
        <f t="shared" si="6"/>
        <v>14990</v>
      </c>
      <c r="I108" s="27">
        <f t="shared" si="1"/>
        <v>1.02</v>
      </c>
      <c r="J108" s="27">
        <f t="shared" si="2"/>
        <v>1.347</v>
      </c>
    </row>
    <row r="109" spans="1:10" ht="30" customHeight="1" x14ac:dyDescent="0.2">
      <c r="A109" s="27"/>
      <c r="B109" s="27" t="s">
        <v>467</v>
      </c>
      <c r="C109" s="27" t="s">
        <v>395</v>
      </c>
      <c r="D109" s="24" t="s">
        <v>477</v>
      </c>
      <c r="E109" s="30">
        <f>357435/F109</f>
        <v>27495</v>
      </c>
      <c r="F109" s="27">
        <v>13</v>
      </c>
      <c r="G109" s="31">
        <f>5.680473/13</f>
        <v>0.43695946153846155</v>
      </c>
      <c r="H109" s="30">
        <f t="shared" si="6"/>
        <v>27674</v>
      </c>
      <c r="I109" s="27">
        <f t="shared" si="1"/>
        <v>1.01</v>
      </c>
      <c r="J109" s="27">
        <f t="shared" si="2"/>
        <v>0.31</v>
      </c>
    </row>
    <row r="110" spans="1:10" ht="30" customHeight="1" x14ac:dyDescent="0.2">
      <c r="A110" s="27"/>
      <c r="B110" s="27" t="s">
        <v>467</v>
      </c>
      <c r="C110" s="27" t="s">
        <v>395</v>
      </c>
      <c r="D110" s="24" t="s">
        <v>478</v>
      </c>
      <c r="E110" s="30">
        <f>155805/F110</f>
        <v>9165</v>
      </c>
      <c r="F110" s="27">
        <v>17</v>
      </c>
      <c r="G110" s="31">
        <f>2.366864/F110</f>
        <v>0.13922729411764706</v>
      </c>
      <c r="H110" s="30">
        <f t="shared" si="6"/>
        <v>8818</v>
      </c>
      <c r="I110" s="27">
        <f t="shared" si="1"/>
        <v>0.96</v>
      </c>
      <c r="J110" s="27">
        <f t="shared" si="2"/>
        <v>-0.78700000000000003</v>
      </c>
    </row>
    <row r="111" spans="1:10" ht="30" customHeight="1" x14ac:dyDescent="0.2">
      <c r="A111" s="27"/>
      <c r="B111" s="27" t="s">
        <v>467</v>
      </c>
      <c r="C111" s="27" t="s">
        <v>479</v>
      </c>
      <c r="D111" s="24" t="s">
        <v>480</v>
      </c>
      <c r="E111" s="30">
        <f>ROUND(368500/3,0)</f>
        <v>122833</v>
      </c>
      <c r="F111" s="27">
        <v>3</v>
      </c>
      <c r="G111" s="31">
        <f>ROUND(5.798816/3,6)</f>
        <v>1.932939</v>
      </c>
      <c r="H111" s="30">
        <f t="shared" si="6"/>
        <v>122419</v>
      </c>
      <c r="I111" s="27">
        <f t="shared" si="1"/>
        <v>1</v>
      </c>
      <c r="J111" s="27">
        <f t="shared" si="2"/>
        <v>-0.16600000000000001</v>
      </c>
    </row>
    <row r="112" spans="1:10" ht="30" customHeight="1" x14ac:dyDescent="0.2">
      <c r="A112" s="27"/>
      <c r="B112" s="27" t="s">
        <v>467</v>
      </c>
      <c r="C112" s="27" t="s">
        <v>479</v>
      </c>
      <c r="D112" s="24" t="s">
        <v>481</v>
      </c>
      <c r="E112" s="30">
        <v>154879</v>
      </c>
      <c r="F112" s="27">
        <v>1</v>
      </c>
      <c r="G112" s="31">
        <v>2.3668640000000001</v>
      </c>
      <c r="H112" s="30">
        <f t="shared" si="6"/>
        <v>149900</v>
      </c>
      <c r="I112" s="27">
        <f t="shared" si="1"/>
        <v>0.97</v>
      </c>
      <c r="J112" s="27">
        <f t="shared" si="2"/>
        <v>-0.66300000000000003</v>
      </c>
    </row>
    <row r="113" spans="1:10" ht="30" customHeight="1" x14ac:dyDescent="0.2">
      <c r="A113" s="27"/>
      <c r="B113" s="27" t="s">
        <v>467</v>
      </c>
      <c r="C113" s="27" t="s">
        <v>479</v>
      </c>
      <c r="D113" s="24" t="s">
        <v>482</v>
      </c>
      <c r="E113" s="30">
        <f>154879+13352+3338*2</f>
        <v>174907</v>
      </c>
      <c r="F113" s="27">
        <v>1</v>
      </c>
      <c r="G113" s="31">
        <v>2.7218930000000001</v>
      </c>
      <c r="H113" s="30">
        <f t="shared" si="6"/>
        <v>172385</v>
      </c>
      <c r="I113" s="27">
        <f t="shared" si="1"/>
        <v>0.99</v>
      </c>
      <c r="J113" s="27">
        <f t="shared" si="2"/>
        <v>-0.33600000000000002</v>
      </c>
    </row>
    <row r="114" spans="1:10" ht="30" customHeight="1" x14ac:dyDescent="0.2">
      <c r="A114" s="27"/>
      <c r="B114" s="27" t="s">
        <v>467</v>
      </c>
      <c r="C114" s="27" t="s">
        <v>483</v>
      </c>
      <c r="D114" s="24" t="s">
        <v>468</v>
      </c>
      <c r="E114" s="30">
        <f>9165*6</f>
        <v>54990</v>
      </c>
      <c r="F114" s="27">
        <v>7</v>
      </c>
      <c r="G114" s="31">
        <f>ROUND(6.272189/7,6)</f>
        <v>0.89602700000000002</v>
      </c>
      <c r="H114" s="30">
        <f t="shared" si="6"/>
        <v>56748</v>
      </c>
      <c r="I114" s="27">
        <f t="shared" si="1"/>
        <v>1.03</v>
      </c>
      <c r="J114" s="27">
        <f t="shared" si="2"/>
        <v>1.64</v>
      </c>
    </row>
    <row r="115" spans="1:10" ht="30" customHeight="1" x14ac:dyDescent="0.2">
      <c r="A115" s="27"/>
      <c r="B115" s="27" t="s">
        <v>467</v>
      </c>
      <c r="C115" s="27" t="s">
        <v>483</v>
      </c>
      <c r="D115" s="24" t="s">
        <v>469</v>
      </c>
      <c r="E115" s="30">
        <v>14664</v>
      </c>
      <c r="F115" s="27">
        <v>25</v>
      </c>
      <c r="G115" s="31">
        <f>ROUND(6.035503/25,6)</f>
        <v>0.24142</v>
      </c>
      <c r="H115" s="30">
        <f t="shared" si="6"/>
        <v>15290</v>
      </c>
      <c r="I115" s="27">
        <f t="shared" si="1"/>
        <v>1.04</v>
      </c>
      <c r="J115" s="27">
        <f t="shared" si="2"/>
        <v>2.085</v>
      </c>
    </row>
    <row r="116" spans="1:10" ht="30" customHeight="1" x14ac:dyDescent="0.2">
      <c r="A116" s="27"/>
      <c r="B116" s="27" t="s">
        <v>467</v>
      </c>
      <c r="C116" s="27" t="s">
        <v>484</v>
      </c>
      <c r="D116" s="24" t="s">
        <v>485</v>
      </c>
      <c r="E116" s="30">
        <f>14886*5</f>
        <v>74430</v>
      </c>
      <c r="F116" s="27">
        <v>1</v>
      </c>
      <c r="G116" s="31">
        <v>1.3017749999999999</v>
      </c>
      <c r="H116" s="30">
        <f t="shared" si="6"/>
        <v>82445</v>
      </c>
      <c r="I116" s="27">
        <f t="shared" si="1"/>
        <v>1.1100000000000001</v>
      </c>
      <c r="J116" s="27">
        <f t="shared" si="2"/>
        <v>1.0680000000000001</v>
      </c>
    </row>
    <row r="117" spans="1:10" ht="30" customHeight="1" x14ac:dyDescent="0.2">
      <c r="A117" s="27"/>
      <c r="B117" s="27" t="s">
        <v>486</v>
      </c>
      <c r="C117" s="27" t="s">
        <v>369</v>
      </c>
      <c r="D117" s="24" t="s">
        <v>457</v>
      </c>
      <c r="E117" s="30">
        <v>76704</v>
      </c>
      <c r="F117" s="27">
        <v>4</v>
      </c>
      <c r="G117" s="31">
        <f>ROUND(4.852071/4,6)</f>
        <v>1.2130179999999999</v>
      </c>
      <c r="H117" s="30">
        <f t="shared" si="6"/>
        <v>76824</v>
      </c>
      <c r="I117" s="27">
        <f t="shared" si="1"/>
        <v>1</v>
      </c>
      <c r="J117" s="27">
        <f t="shared" si="2"/>
        <v>6.4000000000000001E-2</v>
      </c>
    </row>
    <row r="118" spans="1:10" ht="30" customHeight="1" x14ac:dyDescent="0.2">
      <c r="A118" s="27"/>
      <c r="B118" s="27" t="s">
        <v>486</v>
      </c>
      <c r="C118" s="27" t="s">
        <v>369</v>
      </c>
      <c r="D118" s="24" t="s">
        <v>458</v>
      </c>
      <c r="E118" s="30">
        <f>96*1074</f>
        <v>103104</v>
      </c>
      <c r="F118" s="27">
        <v>1</v>
      </c>
      <c r="G118" s="31">
        <v>1.6568039999999999</v>
      </c>
      <c r="H118" s="30">
        <f t="shared" si="6"/>
        <v>104930</v>
      </c>
      <c r="I118" s="27">
        <f t="shared" si="1"/>
        <v>1.02</v>
      </c>
      <c r="J118" s="27">
        <f t="shared" si="2"/>
        <v>0.24299999999999999</v>
      </c>
    </row>
    <row r="119" spans="1:10" ht="30" customHeight="1" x14ac:dyDescent="0.2">
      <c r="A119" s="27"/>
      <c r="B119" s="27" t="s">
        <v>486</v>
      </c>
      <c r="C119" s="27" t="s">
        <v>487</v>
      </c>
      <c r="D119" s="24" t="s">
        <v>488</v>
      </c>
      <c r="E119" s="30">
        <v>789486</v>
      </c>
      <c r="F119" s="27">
        <v>1</v>
      </c>
      <c r="G119" s="31">
        <v>12.071006000000001</v>
      </c>
      <c r="H119" s="30">
        <f t="shared" si="6"/>
        <v>764492</v>
      </c>
      <c r="I119" s="27">
        <f t="shared" si="1"/>
        <v>0.97</v>
      </c>
      <c r="J119" s="27">
        <f t="shared" si="2"/>
        <v>-3.33</v>
      </c>
    </row>
    <row r="120" spans="1:10" ht="30" customHeight="1" x14ac:dyDescent="0.2">
      <c r="A120" s="27"/>
      <c r="B120" s="27" t="s">
        <v>486</v>
      </c>
      <c r="C120" s="27" t="s">
        <v>489</v>
      </c>
      <c r="D120" s="24" t="s">
        <v>370</v>
      </c>
      <c r="E120" s="30">
        <f>ROUND(158554/126,0)</f>
        <v>1258</v>
      </c>
      <c r="F120" s="27">
        <v>126</v>
      </c>
      <c r="G120" s="31">
        <f>ROUND(1.775148/126,6)</f>
        <v>1.4088E-2</v>
      </c>
      <c r="H120" s="30">
        <f t="shared" si="6"/>
        <v>892</v>
      </c>
      <c r="I120" s="27">
        <f t="shared" si="1"/>
        <v>0.71</v>
      </c>
      <c r="J120" s="27">
        <f t="shared" si="2"/>
        <v>-6.141</v>
      </c>
    </row>
    <row r="121" spans="1:10" ht="30" customHeight="1" x14ac:dyDescent="0.2">
      <c r="A121" s="27"/>
      <c r="B121" s="27" t="s">
        <v>486</v>
      </c>
      <c r="C121" s="27" t="s">
        <v>489</v>
      </c>
      <c r="D121" s="24" t="s">
        <v>490</v>
      </c>
      <c r="E121" s="30">
        <f>ROUND(71007/49,0)</f>
        <v>1449</v>
      </c>
      <c r="F121" s="27">
        <v>49</v>
      </c>
      <c r="G121" s="31">
        <f>ROUND(1.065089/49,6)</f>
        <v>2.1736999999999999E-2</v>
      </c>
      <c r="H121" s="30">
        <f t="shared" si="6"/>
        <v>1377</v>
      </c>
      <c r="I121" s="27">
        <f t="shared" si="1"/>
        <v>0.95</v>
      </c>
      <c r="J121" s="27">
        <f t="shared" si="2"/>
        <v>-0.47199999999999998</v>
      </c>
    </row>
  </sheetData>
  <autoFilter ref="A1:J121" xr:uid="{00000000-0009-0000-0000-000004000000}"/>
  <conditionalFormatting sqref="A1:J121">
    <cfRule type="containsText" dxfId="27" priority="1" operator="containsText" text="!">
      <formula>NOT(ISERROR(SEARCH(("!"),(A1))))</formula>
    </cfRule>
  </conditionalFormatting>
  <conditionalFormatting sqref="I2:I121">
    <cfRule type="colorScale" priority="2">
      <colorScale>
        <cfvo type="min"/>
        <cfvo type="formula" val="1"/>
        <cfvo type="max"/>
        <color rgb="FFE67C73"/>
        <color rgb="FFFFD666"/>
        <color rgb="FF57BB8A"/>
      </colorScale>
    </cfRule>
  </conditionalFormatting>
  <conditionalFormatting sqref="J2:J121">
    <cfRule type="cellIs" dxfId="26" priority="3" operator="between">
      <formula>-2</formula>
      <formula>2</formula>
    </cfRule>
    <cfRule type="cellIs" dxfId="25" priority="4" operator="notBetween">
      <formula>-2</formula>
      <formula>2</formula>
    </cfRule>
  </conditionalFormatting>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9900"/>
    <outlinePr summaryBelow="0" summaryRight="0"/>
  </sheetPr>
  <dimension ref="A1:J67"/>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5.140625" customWidth="1"/>
    <col min="2" max="2" width="11.42578125" customWidth="1"/>
    <col min="3" max="3" width="22" customWidth="1"/>
    <col min="4" max="4" width="51.42578125" customWidth="1"/>
    <col min="5" max="10" width="8.85546875" customWidth="1"/>
  </cols>
  <sheetData>
    <row r="1" spans="1:10" ht="30" customHeight="1" x14ac:dyDescent="0.2">
      <c r="A1" s="28" t="s">
        <v>356</v>
      </c>
      <c r="B1" s="28" t="s">
        <v>357</v>
      </c>
      <c r="C1" s="28" t="s">
        <v>358</v>
      </c>
      <c r="D1" s="28" t="s">
        <v>359</v>
      </c>
      <c r="E1" s="28" t="s">
        <v>360</v>
      </c>
      <c r="F1" s="28" t="s">
        <v>361</v>
      </c>
      <c r="G1" s="28" t="s">
        <v>362</v>
      </c>
      <c r="H1" s="29" t="s">
        <v>363</v>
      </c>
      <c r="I1" s="28" t="s">
        <v>364</v>
      </c>
      <c r="J1" s="28" t="s">
        <v>365</v>
      </c>
    </row>
    <row r="2" spans="1:10" ht="30" customHeight="1" x14ac:dyDescent="0.2">
      <c r="A2" s="27"/>
      <c r="B2" s="27" t="s">
        <v>491</v>
      </c>
      <c r="C2" s="27" t="s">
        <v>492</v>
      </c>
      <c r="D2" s="24" t="s">
        <v>493</v>
      </c>
      <c r="E2" s="30">
        <v>55089</v>
      </c>
      <c r="F2" s="27">
        <v>6</v>
      </c>
      <c r="G2" s="31">
        <f>ROUND(5.443787/6,6)</f>
        <v>0.90729800000000005</v>
      </c>
      <c r="H2" s="30">
        <f t="shared" ref="H2:H47" si="0">ROUND(G2/100*6333290,0)</f>
        <v>57462</v>
      </c>
      <c r="I2" s="27">
        <f t="shared" ref="I2:I67" si="1">ROUND(H2/E2,2)</f>
        <v>1.04</v>
      </c>
      <c r="J2" s="27">
        <f t="shared" ref="J2:J47" si="2">ROUND(((G2*F2/100*6333290)-(E2*F2))/7505,3)</f>
        <v>1.897</v>
      </c>
    </row>
    <row r="3" spans="1:10" ht="30" customHeight="1" x14ac:dyDescent="0.2">
      <c r="A3" s="27"/>
      <c r="B3" s="27" t="s">
        <v>491</v>
      </c>
      <c r="C3" s="27" t="s">
        <v>494</v>
      </c>
      <c r="D3" s="24" t="s">
        <v>379</v>
      </c>
      <c r="E3" s="30">
        <f>ROUND((255048-18863-11481)/5,0)</f>
        <v>44941</v>
      </c>
      <c r="F3" s="27">
        <v>5</v>
      </c>
      <c r="G3" s="31">
        <f>ROUND(3.668639/5,6)</f>
        <v>0.73372800000000005</v>
      </c>
      <c r="H3" s="30">
        <f t="shared" si="0"/>
        <v>46469</v>
      </c>
      <c r="I3" s="27">
        <f t="shared" si="1"/>
        <v>1.03</v>
      </c>
      <c r="J3" s="27">
        <f t="shared" si="2"/>
        <v>1.018</v>
      </c>
    </row>
    <row r="4" spans="1:10" ht="30" customHeight="1" x14ac:dyDescent="0.2">
      <c r="A4" s="27"/>
      <c r="B4" s="27" t="s">
        <v>491</v>
      </c>
      <c r="C4" s="27" t="s">
        <v>494</v>
      </c>
      <c r="D4" s="24" t="s">
        <v>495</v>
      </c>
      <c r="E4" s="30">
        <f>ROUND((694758-18863-11481+26639)/9,0)</f>
        <v>76784</v>
      </c>
      <c r="F4" s="27">
        <v>9</v>
      </c>
      <c r="G4" s="31">
        <f>ROUND((10.532544+26639/6333290*100)/9,6)</f>
        <v>1.2170179999999999</v>
      </c>
      <c r="H4" s="30">
        <f t="shared" si="0"/>
        <v>77077</v>
      </c>
      <c r="I4" s="27">
        <f t="shared" si="1"/>
        <v>1</v>
      </c>
      <c r="J4" s="27">
        <f t="shared" si="2"/>
        <v>0.35199999999999998</v>
      </c>
    </row>
    <row r="5" spans="1:10" ht="30" customHeight="1" x14ac:dyDescent="0.2">
      <c r="A5" s="27"/>
      <c r="B5" s="27" t="s">
        <v>491</v>
      </c>
      <c r="C5" s="27" t="s">
        <v>496</v>
      </c>
      <c r="D5" s="24" t="s">
        <v>497</v>
      </c>
      <c r="E5" s="30">
        <f>ROUND((442151-18863-11481)/9,0)</f>
        <v>45756</v>
      </c>
      <c r="F5" s="27">
        <v>9</v>
      </c>
      <c r="G5" s="31">
        <f>ROUND(6.153846/8,6)</f>
        <v>0.769231</v>
      </c>
      <c r="H5" s="30">
        <f t="shared" si="0"/>
        <v>48718</v>
      </c>
      <c r="I5" s="27">
        <f t="shared" si="1"/>
        <v>1.06</v>
      </c>
      <c r="J5" s="27">
        <f t="shared" si="2"/>
        <v>3.552</v>
      </c>
    </row>
    <row r="6" spans="1:10" ht="30" customHeight="1" x14ac:dyDescent="0.2">
      <c r="A6" s="27"/>
      <c r="B6" s="27" t="s">
        <v>491</v>
      </c>
      <c r="C6" s="27" t="s">
        <v>496</v>
      </c>
      <c r="D6" s="24" t="s">
        <v>498</v>
      </c>
      <c r="E6" s="30">
        <f>ROUND(222557/4,0)</f>
        <v>55639</v>
      </c>
      <c r="F6" s="27">
        <v>4</v>
      </c>
      <c r="G6" s="31">
        <f>ROUND(3.905325/4,6)</f>
        <v>0.97633099999999995</v>
      </c>
      <c r="H6" s="30">
        <f t="shared" si="0"/>
        <v>61834</v>
      </c>
      <c r="I6" s="27">
        <f t="shared" si="1"/>
        <v>1.1100000000000001</v>
      </c>
      <c r="J6" s="27">
        <f t="shared" si="2"/>
        <v>3.302</v>
      </c>
    </row>
    <row r="7" spans="1:10" ht="30" customHeight="1" x14ac:dyDescent="0.2">
      <c r="A7" s="27"/>
      <c r="B7" s="27" t="s">
        <v>491</v>
      </c>
      <c r="C7" s="27" t="s">
        <v>499</v>
      </c>
      <c r="D7" s="24" t="s">
        <v>379</v>
      </c>
      <c r="E7" s="30">
        <f>ROUND(653707/12,0)</f>
        <v>54476</v>
      </c>
      <c r="F7" s="27">
        <v>12</v>
      </c>
      <c r="G7" s="31">
        <f>ROUND(9.704142/11,6)</f>
        <v>0.88219499999999995</v>
      </c>
      <c r="H7" s="30">
        <f t="shared" si="0"/>
        <v>55872</v>
      </c>
      <c r="I7" s="27">
        <f t="shared" si="1"/>
        <v>1.03</v>
      </c>
      <c r="J7" s="27">
        <f t="shared" si="2"/>
        <v>2.2320000000000002</v>
      </c>
    </row>
    <row r="8" spans="1:10" ht="30" customHeight="1" x14ac:dyDescent="0.2">
      <c r="A8" s="27"/>
      <c r="B8" s="27" t="s">
        <v>491</v>
      </c>
      <c r="C8" s="27" t="s">
        <v>500</v>
      </c>
      <c r="D8" s="24" t="s">
        <v>501</v>
      </c>
      <c r="E8" s="30">
        <v>93020</v>
      </c>
      <c r="F8" s="27">
        <v>3</v>
      </c>
      <c r="G8" s="31">
        <f>ROUND(4.615384/3,6)</f>
        <v>1.5384610000000001</v>
      </c>
      <c r="H8" s="30">
        <f t="shared" si="0"/>
        <v>97435</v>
      </c>
      <c r="I8" s="27">
        <f t="shared" si="1"/>
        <v>1.05</v>
      </c>
      <c r="J8" s="27">
        <f t="shared" si="2"/>
        <v>1.7649999999999999</v>
      </c>
    </row>
    <row r="9" spans="1:10" ht="30" customHeight="1" x14ac:dyDescent="0.2">
      <c r="A9" s="27"/>
      <c r="B9" s="27" t="s">
        <v>491</v>
      </c>
      <c r="C9" s="27" t="s">
        <v>502</v>
      </c>
      <c r="D9" s="24"/>
      <c r="E9" s="30">
        <f>ROUND(322433/11,0)</f>
        <v>29312</v>
      </c>
      <c r="F9" s="27">
        <v>11</v>
      </c>
      <c r="G9" s="31">
        <f>ROUND(4.733728/10,6)</f>
        <v>0.47337299999999999</v>
      </c>
      <c r="H9" s="30">
        <f t="shared" si="0"/>
        <v>29980</v>
      </c>
      <c r="I9" s="27">
        <f t="shared" si="1"/>
        <v>1.02</v>
      </c>
      <c r="J9" s="27">
        <f t="shared" si="2"/>
        <v>0.97899999999999998</v>
      </c>
    </row>
    <row r="10" spans="1:10" ht="30" customHeight="1" x14ac:dyDescent="0.2">
      <c r="A10" s="27"/>
      <c r="B10" s="27" t="s">
        <v>491</v>
      </c>
      <c r="C10" s="27" t="s">
        <v>502</v>
      </c>
      <c r="D10" s="24" t="s">
        <v>503</v>
      </c>
      <c r="E10" s="30">
        <f>ROUND(404356/9,0)</f>
        <v>44928</v>
      </c>
      <c r="F10" s="27">
        <v>9</v>
      </c>
      <c r="G10" s="31">
        <f>ROUND(6.863905/9,6)</f>
        <v>0.762656</v>
      </c>
      <c r="H10" s="30">
        <f t="shared" si="0"/>
        <v>48301</v>
      </c>
      <c r="I10" s="27">
        <f t="shared" si="1"/>
        <v>1.08</v>
      </c>
      <c r="J10" s="27">
        <f t="shared" si="2"/>
        <v>4.0449999999999999</v>
      </c>
    </row>
    <row r="11" spans="1:10" ht="30" customHeight="1" x14ac:dyDescent="0.2">
      <c r="A11" s="27"/>
      <c r="B11" s="27" t="s">
        <v>491</v>
      </c>
      <c r="C11" s="27" t="s">
        <v>504</v>
      </c>
      <c r="D11" s="24" t="s">
        <v>501</v>
      </c>
      <c r="E11" s="30">
        <f>491405/5</f>
        <v>98281</v>
      </c>
      <c r="F11" s="27">
        <v>5</v>
      </c>
      <c r="G11" s="31">
        <f>ROUND((3.195266/2),6)</f>
        <v>1.5976330000000001</v>
      </c>
      <c r="H11" s="30">
        <f t="shared" si="0"/>
        <v>101183</v>
      </c>
      <c r="I11" s="27">
        <f t="shared" si="1"/>
        <v>1.03</v>
      </c>
      <c r="J11" s="27">
        <f t="shared" si="2"/>
        <v>1.9330000000000001</v>
      </c>
    </row>
    <row r="12" spans="1:10" ht="30" customHeight="1" x14ac:dyDescent="0.2">
      <c r="A12" s="27"/>
      <c r="B12" s="27" t="s">
        <v>491</v>
      </c>
      <c r="C12" s="27" t="s">
        <v>504</v>
      </c>
      <c r="D12" s="24" t="s">
        <v>505</v>
      </c>
      <c r="E12" s="30">
        <f>ROUND(443355/4,0)</f>
        <v>110839</v>
      </c>
      <c r="F12" s="27">
        <v>3</v>
      </c>
      <c r="G12" s="31">
        <f>ROUND(5.296443/3,6)</f>
        <v>1.7654810000000001</v>
      </c>
      <c r="H12" s="30">
        <f t="shared" si="0"/>
        <v>111813</v>
      </c>
      <c r="I12" s="27">
        <f t="shared" si="1"/>
        <v>1.01</v>
      </c>
      <c r="J12" s="27">
        <f t="shared" si="2"/>
        <v>0.38900000000000001</v>
      </c>
    </row>
    <row r="13" spans="1:10" ht="30" customHeight="1" x14ac:dyDescent="0.2">
      <c r="A13" s="27"/>
      <c r="B13" s="27" t="s">
        <v>491</v>
      </c>
      <c r="C13" s="27" t="s">
        <v>506</v>
      </c>
      <c r="D13" s="24" t="s">
        <v>370</v>
      </c>
      <c r="E13" s="30">
        <f>ROUND(465375/11,0)</f>
        <v>42307</v>
      </c>
      <c r="F13" s="27">
        <v>11</v>
      </c>
      <c r="G13" s="31">
        <f>ROUND(6.035502/10,6)</f>
        <v>0.60355000000000003</v>
      </c>
      <c r="H13" s="30">
        <f t="shared" si="0"/>
        <v>38225</v>
      </c>
      <c r="I13" s="27">
        <f t="shared" si="1"/>
        <v>0.9</v>
      </c>
      <c r="J13" s="27">
        <f t="shared" si="2"/>
        <v>-5.984</v>
      </c>
    </row>
    <row r="14" spans="1:10" ht="30" customHeight="1" x14ac:dyDescent="0.2">
      <c r="A14" s="27"/>
      <c r="B14" s="27" t="s">
        <v>491</v>
      </c>
      <c r="C14" s="27" t="s">
        <v>506</v>
      </c>
      <c r="D14" s="24" t="s">
        <v>503</v>
      </c>
      <c r="E14" s="30">
        <f>ROUND(280274/8,0)</f>
        <v>35034</v>
      </c>
      <c r="F14" s="27">
        <v>8</v>
      </c>
      <c r="G14" s="31">
        <f>ROUND(4.142012/7,6)</f>
        <v>0.59171600000000002</v>
      </c>
      <c r="H14" s="30">
        <f t="shared" si="0"/>
        <v>37475</v>
      </c>
      <c r="I14" s="27">
        <f t="shared" si="1"/>
        <v>1.07</v>
      </c>
      <c r="J14" s="27">
        <f t="shared" si="2"/>
        <v>2.6019999999999999</v>
      </c>
    </row>
    <row r="15" spans="1:10" ht="30" customHeight="1" x14ac:dyDescent="0.2">
      <c r="A15" s="27"/>
      <c r="B15" s="27" t="s">
        <v>491</v>
      </c>
      <c r="C15" s="27" t="s">
        <v>507</v>
      </c>
      <c r="D15" s="24" t="s">
        <v>379</v>
      </c>
      <c r="E15" s="30">
        <f>ROUND(470140/8,0)</f>
        <v>58768</v>
      </c>
      <c r="F15" s="27">
        <v>8</v>
      </c>
      <c r="G15" s="31">
        <f>ROUND(6.863906/7,6)</f>
        <v>0.98055800000000004</v>
      </c>
      <c r="H15" s="30">
        <f t="shared" si="0"/>
        <v>62102</v>
      </c>
      <c r="I15" s="27">
        <f t="shared" si="1"/>
        <v>1.06</v>
      </c>
      <c r="J15" s="27">
        <f t="shared" si="2"/>
        <v>3.5529999999999999</v>
      </c>
    </row>
    <row r="16" spans="1:10" ht="30" customHeight="1" x14ac:dyDescent="0.2">
      <c r="A16" s="27"/>
      <c r="B16" s="27" t="s">
        <v>491</v>
      </c>
      <c r="C16" s="27" t="s">
        <v>507</v>
      </c>
      <c r="D16" s="24" t="s">
        <v>508</v>
      </c>
      <c r="E16" s="30">
        <f>ROUND(353860/3,0)</f>
        <v>117953</v>
      </c>
      <c r="F16" s="27">
        <v>3</v>
      </c>
      <c r="G16" s="31">
        <f>ROUND(5.798816/3,6)</f>
        <v>1.932939</v>
      </c>
      <c r="H16" s="30">
        <f t="shared" si="0"/>
        <v>122419</v>
      </c>
      <c r="I16" s="27">
        <f t="shared" si="1"/>
        <v>1.04</v>
      </c>
      <c r="J16" s="27">
        <f t="shared" si="2"/>
        <v>1.7849999999999999</v>
      </c>
    </row>
    <row r="17" spans="1:10" ht="30" customHeight="1" x14ac:dyDescent="0.2">
      <c r="A17" s="27"/>
      <c r="B17" s="27" t="s">
        <v>491</v>
      </c>
      <c r="C17" s="27" t="s">
        <v>507</v>
      </c>
      <c r="D17" s="24" t="s">
        <v>509</v>
      </c>
      <c r="E17" s="30">
        <f>ROUND(1735139/7,0)</f>
        <v>247877</v>
      </c>
      <c r="F17" s="27">
        <v>7</v>
      </c>
      <c r="G17" s="31">
        <f>ROUND(28.16568/7,6)</f>
        <v>4.0236689999999999</v>
      </c>
      <c r="H17" s="30">
        <f t="shared" si="0"/>
        <v>254831</v>
      </c>
      <c r="I17" s="27">
        <f t="shared" si="1"/>
        <v>1.03</v>
      </c>
      <c r="J17" s="27">
        <f t="shared" si="2"/>
        <v>6.4859999999999998</v>
      </c>
    </row>
    <row r="18" spans="1:10" ht="30" customHeight="1" x14ac:dyDescent="0.2">
      <c r="A18" s="27"/>
      <c r="B18" s="27" t="s">
        <v>491</v>
      </c>
      <c r="C18" s="27" t="s">
        <v>510</v>
      </c>
      <c r="D18" s="24" t="s">
        <v>501</v>
      </c>
      <c r="E18" s="30">
        <f>ROUND(251188/6,0)</f>
        <v>41865</v>
      </c>
      <c r="F18" s="27">
        <v>5</v>
      </c>
      <c r="G18" s="31">
        <f>ROUND(3.550296/5,6)</f>
        <v>0.710059</v>
      </c>
      <c r="H18" s="30">
        <f t="shared" si="0"/>
        <v>44970</v>
      </c>
      <c r="I18" s="27">
        <f t="shared" si="1"/>
        <v>1.07</v>
      </c>
      <c r="J18" s="27">
        <f t="shared" si="2"/>
        <v>2.069</v>
      </c>
    </row>
    <row r="19" spans="1:10" ht="30" customHeight="1" x14ac:dyDescent="0.2">
      <c r="A19" s="27"/>
      <c r="B19" s="27" t="s">
        <v>491</v>
      </c>
      <c r="C19" s="27" t="s">
        <v>510</v>
      </c>
      <c r="D19" s="24" t="s">
        <v>505</v>
      </c>
      <c r="E19" s="30">
        <v>100614</v>
      </c>
      <c r="F19" s="27">
        <v>5</v>
      </c>
      <c r="G19" s="31">
        <f>ROUND(8.52071/5,6)</f>
        <v>1.704142</v>
      </c>
      <c r="H19" s="30">
        <f t="shared" si="0"/>
        <v>107928</v>
      </c>
      <c r="I19" s="27">
        <f t="shared" si="1"/>
        <v>1.07</v>
      </c>
      <c r="J19" s="27">
        <f t="shared" si="2"/>
        <v>4.8730000000000002</v>
      </c>
    </row>
    <row r="20" spans="1:10" ht="30" customHeight="1" x14ac:dyDescent="0.2">
      <c r="A20" s="27"/>
      <c r="B20" s="27" t="s">
        <v>491</v>
      </c>
      <c r="C20" s="27" t="s">
        <v>511</v>
      </c>
      <c r="D20" s="24" t="s">
        <v>379</v>
      </c>
      <c r="E20" s="30">
        <f>ROUND((260531-18640-11481)/5,0)</f>
        <v>46082</v>
      </c>
      <c r="F20" s="27">
        <v>5</v>
      </c>
      <c r="G20" s="31">
        <f>ROUND(3.786982/5,6)</f>
        <v>0.75739599999999996</v>
      </c>
      <c r="H20" s="30">
        <f t="shared" si="0"/>
        <v>47968</v>
      </c>
      <c r="I20" s="27">
        <f t="shared" si="1"/>
        <v>1.04</v>
      </c>
      <c r="J20" s="27">
        <f t="shared" si="2"/>
        <v>1.2569999999999999</v>
      </c>
    </row>
    <row r="21" spans="1:10" ht="30" customHeight="1" x14ac:dyDescent="0.2">
      <c r="A21" s="27"/>
      <c r="B21" s="27" t="s">
        <v>491</v>
      </c>
      <c r="C21" s="27" t="s">
        <v>512</v>
      </c>
      <c r="D21" s="24" t="s">
        <v>379</v>
      </c>
      <c r="E21" s="30">
        <f>ROUND(513750/8,0)</f>
        <v>64219</v>
      </c>
      <c r="F21" s="27">
        <v>8</v>
      </c>
      <c r="G21" s="31">
        <f>ROUND(7.455622/7,6)</f>
        <v>1.065089</v>
      </c>
      <c r="H21" s="30">
        <f t="shared" si="0"/>
        <v>67455</v>
      </c>
      <c r="I21" s="27">
        <f t="shared" si="1"/>
        <v>1.05</v>
      </c>
      <c r="J21" s="27">
        <f t="shared" si="2"/>
        <v>3.45</v>
      </c>
    </row>
    <row r="22" spans="1:10" ht="30" customHeight="1" x14ac:dyDescent="0.2">
      <c r="A22" s="27"/>
      <c r="B22" s="27" t="s">
        <v>491</v>
      </c>
      <c r="C22" s="27" t="s">
        <v>513</v>
      </c>
      <c r="D22" s="24" t="s">
        <v>514</v>
      </c>
      <c r="E22" s="30">
        <f>184125/F22</f>
        <v>36825</v>
      </c>
      <c r="F22" s="27">
        <v>5</v>
      </c>
      <c r="G22" s="31">
        <f>2.95858/F22</f>
        <v>0.59171600000000002</v>
      </c>
      <c r="H22" s="30">
        <f t="shared" si="0"/>
        <v>37475</v>
      </c>
      <c r="I22" s="27">
        <f t="shared" si="1"/>
        <v>1.02</v>
      </c>
      <c r="J22" s="27">
        <f t="shared" si="2"/>
        <v>0.433</v>
      </c>
    </row>
    <row r="23" spans="1:10" ht="30" customHeight="1" x14ac:dyDescent="0.2">
      <c r="A23" s="27"/>
      <c r="B23" s="27" t="s">
        <v>491</v>
      </c>
      <c r="C23" s="27" t="s">
        <v>515</v>
      </c>
      <c r="D23" s="24" t="s">
        <v>379</v>
      </c>
      <c r="E23" s="30">
        <f>ROUND(333633/10,0)</f>
        <v>33363</v>
      </c>
      <c r="F23" s="27">
        <v>10</v>
      </c>
      <c r="G23" s="31">
        <f>ROUND(5.443787/10,6)</f>
        <v>0.54437899999999995</v>
      </c>
      <c r="H23" s="30">
        <f t="shared" si="0"/>
        <v>34477</v>
      </c>
      <c r="I23" s="27">
        <f t="shared" si="1"/>
        <v>1.03</v>
      </c>
      <c r="J23" s="27">
        <f t="shared" si="2"/>
        <v>1.484</v>
      </c>
    </row>
    <row r="24" spans="1:10" ht="30" customHeight="1" x14ac:dyDescent="0.2">
      <c r="A24" s="27"/>
      <c r="B24" s="27" t="s">
        <v>491</v>
      </c>
      <c r="C24" s="27" t="s">
        <v>515</v>
      </c>
      <c r="D24" s="24" t="s">
        <v>516</v>
      </c>
      <c r="E24" s="30">
        <f>ROUND(33066+536*2+26639/2,0)</f>
        <v>47458</v>
      </c>
      <c r="F24" s="27">
        <v>12</v>
      </c>
      <c r="G24" s="31">
        <f>ROUND(8.639053/12,6)</f>
        <v>0.71992100000000003</v>
      </c>
      <c r="H24" s="30">
        <f t="shared" si="0"/>
        <v>45595</v>
      </c>
      <c r="I24" s="27">
        <f t="shared" si="1"/>
        <v>0.96</v>
      </c>
      <c r="J24" s="27">
        <f t="shared" si="2"/>
        <v>-2.9790000000000001</v>
      </c>
    </row>
    <row r="25" spans="1:10" ht="30" customHeight="1" x14ac:dyDescent="0.2">
      <c r="A25" s="27"/>
      <c r="B25" s="27" t="s">
        <v>491</v>
      </c>
      <c r="C25" s="27" t="s">
        <v>517</v>
      </c>
      <c r="D25" s="24" t="s">
        <v>518</v>
      </c>
      <c r="E25" s="30">
        <f>ROUND(579839/6,0)</f>
        <v>96640</v>
      </c>
      <c r="F25" s="27">
        <v>6</v>
      </c>
      <c r="G25" s="31">
        <f>ROUND(9.112426/6,6)</f>
        <v>1.5187379999999999</v>
      </c>
      <c r="H25" s="30">
        <f t="shared" si="0"/>
        <v>96186</v>
      </c>
      <c r="I25" s="27">
        <f t="shared" si="1"/>
        <v>1</v>
      </c>
      <c r="J25" s="27">
        <f t="shared" si="2"/>
        <v>-0.36299999999999999</v>
      </c>
    </row>
    <row r="26" spans="1:10" ht="30" customHeight="1" x14ac:dyDescent="0.2">
      <c r="A26" s="27"/>
      <c r="B26" s="27" t="s">
        <v>491</v>
      </c>
      <c r="C26" s="27" t="s">
        <v>519</v>
      </c>
      <c r="D26" s="24" t="s">
        <v>518</v>
      </c>
      <c r="E26" s="30">
        <f>ROUND(481941/4,0)</f>
        <v>120485</v>
      </c>
      <c r="F26" s="27">
        <v>4</v>
      </c>
      <c r="G26" s="31">
        <f>ROUND(5.680474/3,6)</f>
        <v>1.893491</v>
      </c>
      <c r="H26" s="30">
        <f t="shared" si="0"/>
        <v>119920</v>
      </c>
      <c r="I26" s="27">
        <f t="shared" si="1"/>
        <v>1</v>
      </c>
      <c r="J26" s="27">
        <f t="shared" si="2"/>
        <v>-0.30099999999999999</v>
      </c>
    </row>
    <row r="27" spans="1:10" ht="30" customHeight="1" x14ac:dyDescent="0.2">
      <c r="A27" s="27"/>
      <c r="B27" s="27" t="s">
        <v>491</v>
      </c>
      <c r="C27" s="27" t="s">
        <v>520</v>
      </c>
      <c r="D27" s="24" t="s">
        <v>518</v>
      </c>
      <c r="E27" s="30">
        <f>ROUND(245257/4,0)</f>
        <v>61314</v>
      </c>
      <c r="F27" s="27">
        <v>4</v>
      </c>
      <c r="G27" s="31">
        <f>ROUND(4.023668/4,6)</f>
        <v>1.005917</v>
      </c>
      <c r="H27" s="30">
        <f t="shared" si="0"/>
        <v>63708</v>
      </c>
      <c r="I27" s="27">
        <f t="shared" si="1"/>
        <v>1.04</v>
      </c>
      <c r="J27" s="27">
        <f t="shared" si="2"/>
        <v>1.276</v>
      </c>
    </row>
    <row r="28" spans="1:10" ht="30" customHeight="1" x14ac:dyDescent="0.2">
      <c r="A28" s="27"/>
      <c r="B28" s="27" t="s">
        <v>491</v>
      </c>
      <c r="C28" s="27" t="s">
        <v>520</v>
      </c>
      <c r="D28" s="24" t="s">
        <v>521</v>
      </c>
      <c r="E28" s="30">
        <f>ROUND(308177/3,0)</f>
        <v>102726</v>
      </c>
      <c r="F28" s="27">
        <v>3</v>
      </c>
      <c r="G28" s="31">
        <f>ROUND(5.2071/3,6)</f>
        <v>1.7357</v>
      </c>
      <c r="H28" s="30">
        <f t="shared" si="0"/>
        <v>109927</v>
      </c>
      <c r="I28" s="27">
        <f t="shared" si="1"/>
        <v>1.07</v>
      </c>
      <c r="J28" s="27">
        <f t="shared" si="2"/>
        <v>2.8780000000000001</v>
      </c>
    </row>
    <row r="29" spans="1:10" ht="30" customHeight="1" x14ac:dyDescent="0.2">
      <c r="A29" s="27"/>
      <c r="B29" s="27" t="s">
        <v>389</v>
      </c>
      <c r="C29" s="27" t="s">
        <v>370</v>
      </c>
      <c r="D29" s="24"/>
      <c r="E29" s="30">
        <v>3550</v>
      </c>
      <c r="F29" s="27">
        <v>18</v>
      </c>
      <c r="G29" s="31">
        <v>5.2610999999998853E-2</v>
      </c>
      <c r="H29" s="30">
        <f t="shared" si="0"/>
        <v>3332</v>
      </c>
      <c r="I29" s="27">
        <f t="shared" si="1"/>
        <v>0.94</v>
      </c>
      <c r="J29" s="27">
        <f t="shared" si="2"/>
        <v>-0.52300000000000002</v>
      </c>
    </row>
    <row r="30" spans="1:10" ht="30" customHeight="1" x14ac:dyDescent="0.2">
      <c r="A30" s="27"/>
      <c r="B30" s="27" t="s">
        <v>389</v>
      </c>
      <c r="C30" s="27" t="s">
        <v>370</v>
      </c>
      <c r="D30" s="24" t="s">
        <v>326</v>
      </c>
      <c r="E30" s="30">
        <v>50715</v>
      </c>
      <c r="F30" s="27">
        <v>3</v>
      </c>
      <c r="G30" s="31">
        <f>ROUND(2.366864/3,6)</f>
        <v>0.78895499999999996</v>
      </c>
      <c r="H30" s="30">
        <f t="shared" si="0"/>
        <v>49967</v>
      </c>
      <c r="I30" s="27">
        <f t="shared" si="1"/>
        <v>0.99</v>
      </c>
      <c r="J30" s="27">
        <f t="shared" si="2"/>
        <v>-0.29899999999999999</v>
      </c>
    </row>
    <row r="31" spans="1:10" ht="30" customHeight="1" x14ac:dyDescent="0.2">
      <c r="A31" s="27"/>
      <c r="B31" s="27" t="s">
        <v>389</v>
      </c>
      <c r="C31" s="27" t="s">
        <v>522</v>
      </c>
      <c r="D31" s="24" t="s">
        <v>379</v>
      </c>
      <c r="E31" s="30">
        <f>237608/4</f>
        <v>59402</v>
      </c>
      <c r="F31" s="27">
        <v>4</v>
      </c>
      <c r="G31" s="31">
        <f>4.260355/F31</f>
        <v>1.0650887499999999</v>
      </c>
      <c r="H31" s="30">
        <f t="shared" si="0"/>
        <v>67455</v>
      </c>
      <c r="I31" s="27">
        <f t="shared" si="1"/>
        <v>1.1399999999999999</v>
      </c>
      <c r="J31" s="27">
        <f t="shared" si="2"/>
        <v>4.2919999999999998</v>
      </c>
    </row>
    <row r="32" spans="1:10" ht="30" customHeight="1" x14ac:dyDescent="0.2">
      <c r="A32" s="27"/>
      <c r="B32" s="27" t="s">
        <v>389</v>
      </c>
      <c r="C32" s="27" t="s">
        <v>523</v>
      </c>
      <c r="D32" s="24"/>
      <c r="E32" s="30">
        <f>121140/6</f>
        <v>20190</v>
      </c>
      <c r="F32" s="27">
        <v>6</v>
      </c>
      <c r="G32" s="31">
        <f>1.893491/F32</f>
        <v>0.31558183333333334</v>
      </c>
      <c r="H32" s="30">
        <f t="shared" si="0"/>
        <v>19987</v>
      </c>
      <c r="I32" s="27">
        <f t="shared" si="1"/>
        <v>0.99</v>
      </c>
      <c r="J32" s="27">
        <f t="shared" si="2"/>
        <v>-0.16300000000000001</v>
      </c>
    </row>
    <row r="33" spans="1:10" ht="30" customHeight="1" x14ac:dyDescent="0.2">
      <c r="A33" s="27"/>
      <c r="B33" s="27" t="s">
        <v>389</v>
      </c>
      <c r="C33" s="27" t="s">
        <v>524</v>
      </c>
      <c r="D33" s="24"/>
      <c r="E33" s="30">
        <f>197602/F33</f>
        <v>32933.666666666664</v>
      </c>
      <c r="F33" s="27">
        <v>6</v>
      </c>
      <c r="G33" s="31">
        <f>3.076923/F33</f>
        <v>0.51282050000000001</v>
      </c>
      <c r="H33" s="30">
        <f t="shared" si="0"/>
        <v>32478</v>
      </c>
      <c r="I33" s="27">
        <f t="shared" si="1"/>
        <v>0.99</v>
      </c>
      <c r="J33" s="27">
        <f t="shared" si="2"/>
        <v>-0.36399999999999999</v>
      </c>
    </row>
    <row r="34" spans="1:10" ht="30" customHeight="1" x14ac:dyDescent="0.2">
      <c r="A34" s="27"/>
      <c r="B34" s="27" t="s">
        <v>389</v>
      </c>
      <c r="C34" s="27" t="s">
        <v>525</v>
      </c>
      <c r="D34" s="24" t="s">
        <v>379</v>
      </c>
      <c r="E34" s="30">
        <f>162475/F34</f>
        <v>32495</v>
      </c>
      <c r="F34" s="27">
        <v>5</v>
      </c>
      <c r="G34" s="31">
        <f>2.95858/F34</f>
        <v>0.59171600000000002</v>
      </c>
      <c r="H34" s="30">
        <f t="shared" si="0"/>
        <v>37475</v>
      </c>
      <c r="I34" s="27">
        <f t="shared" si="1"/>
        <v>1.1499999999999999</v>
      </c>
      <c r="J34" s="27">
        <f t="shared" si="2"/>
        <v>3.3180000000000001</v>
      </c>
    </row>
    <row r="35" spans="1:10" ht="30" customHeight="1" x14ac:dyDescent="0.2">
      <c r="A35" s="27"/>
      <c r="B35" s="27" t="s">
        <v>389</v>
      </c>
      <c r="C35" s="27" t="s">
        <v>526</v>
      </c>
      <c r="D35" s="24" t="s">
        <v>379</v>
      </c>
      <c r="E35" s="30">
        <f>221016/5</f>
        <v>44203.199999999997</v>
      </c>
      <c r="F35" s="27">
        <v>5</v>
      </c>
      <c r="G35" s="31">
        <f>3.550296/F35</f>
        <v>0.7100592</v>
      </c>
      <c r="H35" s="30">
        <f t="shared" si="0"/>
        <v>44970</v>
      </c>
      <c r="I35" s="27">
        <f t="shared" si="1"/>
        <v>1.02</v>
      </c>
      <c r="J35" s="27">
        <f t="shared" si="2"/>
        <v>0.51100000000000001</v>
      </c>
    </row>
    <row r="36" spans="1:10" ht="30" customHeight="1" x14ac:dyDescent="0.2">
      <c r="A36" s="27"/>
      <c r="B36" s="27" t="s">
        <v>389</v>
      </c>
      <c r="C36" s="27" t="s">
        <v>527</v>
      </c>
      <c r="D36" s="24" t="s">
        <v>528</v>
      </c>
      <c r="E36" s="30">
        <f>79512/F36</f>
        <v>19878</v>
      </c>
      <c r="F36" s="27">
        <v>4</v>
      </c>
      <c r="G36" s="31">
        <f>1.183432/F36</f>
        <v>0.29585800000000001</v>
      </c>
      <c r="H36" s="30">
        <f t="shared" si="0"/>
        <v>18738</v>
      </c>
      <c r="I36" s="27">
        <f t="shared" si="1"/>
        <v>0.94</v>
      </c>
      <c r="J36" s="27">
        <f t="shared" si="2"/>
        <v>-0.60799999999999998</v>
      </c>
    </row>
    <row r="37" spans="1:10" ht="30" customHeight="1" x14ac:dyDescent="0.2">
      <c r="A37" s="27"/>
      <c r="B37" s="27" t="s">
        <v>389</v>
      </c>
      <c r="C37" s="27" t="s">
        <v>529</v>
      </c>
      <c r="D37" s="24"/>
      <c r="E37" s="30"/>
      <c r="F37" s="27"/>
      <c r="G37" s="31"/>
      <c r="H37" s="30">
        <f t="shared" si="0"/>
        <v>0</v>
      </c>
      <c r="I37" s="27" t="e">
        <f t="shared" si="1"/>
        <v>#DIV/0!</v>
      </c>
      <c r="J37" s="27">
        <f t="shared" si="2"/>
        <v>0</v>
      </c>
    </row>
    <row r="38" spans="1:10" ht="30" customHeight="1" x14ac:dyDescent="0.2">
      <c r="A38" s="27"/>
      <c r="B38" s="27" t="s">
        <v>389</v>
      </c>
      <c r="C38" s="27" t="s">
        <v>530</v>
      </c>
      <c r="D38" s="24"/>
      <c r="E38" s="30">
        <f>144220/F38</f>
        <v>28844</v>
      </c>
      <c r="F38" s="27">
        <v>5</v>
      </c>
      <c r="G38" s="31">
        <f>2.60355/F38</f>
        <v>0.52071000000000001</v>
      </c>
      <c r="H38" s="30">
        <f t="shared" si="0"/>
        <v>32978</v>
      </c>
      <c r="I38" s="27">
        <f t="shared" si="1"/>
        <v>1.1399999999999999</v>
      </c>
      <c r="J38" s="27">
        <f t="shared" si="2"/>
        <v>2.754</v>
      </c>
    </row>
    <row r="39" spans="1:10" ht="30" customHeight="1" x14ac:dyDescent="0.2">
      <c r="A39" s="27"/>
      <c r="B39" s="27" t="s">
        <v>389</v>
      </c>
      <c r="C39" s="27" t="s">
        <v>531</v>
      </c>
      <c r="D39" s="24"/>
      <c r="E39" s="30">
        <f>174960/F39</f>
        <v>14580</v>
      </c>
      <c r="F39" s="27">
        <v>12</v>
      </c>
      <c r="G39" s="31">
        <f>2.840236/F39</f>
        <v>0.23668633333333333</v>
      </c>
      <c r="H39" s="30">
        <f t="shared" si="0"/>
        <v>14990</v>
      </c>
      <c r="I39" s="27">
        <f t="shared" si="1"/>
        <v>1.03</v>
      </c>
      <c r="J39" s="27">
        <f t="shared" si="2"/>
        <v>0.65600000000000003</v>
      </c>
    </row>
    <row r="40" spans="1:10" ht="30" customHeight="1" x14ac:dyDescent="0.2">
      <c r="A40" s="27"/>
      <c r="B40" s="27" t="s">
        <v>389</v>
      </c>
      <c r="C40" s="27" t="s">
        <v>532</v>
      </c>
      <c r="D40" s="24" t="s">
        <v>533</v>
      </c>
      <c r="E40" s="30">
        <f>138450/F40</f>
        <v>23075</v>
      </c>
      <c r="F40" s="27">
        <v>6</v>
      </c>
      <c r="G40" s="31">
        <f>2.366864/F40</f>
        <v>0.39447733333333335</v>
      </c>
      <c r="H40" s="30">
        <f t="shared" si="0"/>
        <v>24983</v>
      </c>
      <c r="I40" s="27">
        <f t="shared" si="1"/>
        <v>1.08</v>
      </c>
      <c r="J40" s="27">
        <f t="shared" si="2"/>
        <v>1.526</v>
      </c>
    </row>
    <row r="41" spans="1:10" ht="30" customHeight="1" x14ac:dyDescent="0.2">
      <c r="A41" s="27"/>
      <c r="B41" s="27" t="s">
        <v>389</v>
      </c>
      <c r="C41" s="27" t="s">
        <v>532</v>
      </c>
      <c r="D41" s="24" t="s">
        <v>534</v>
      </c>
      <c r="E41" s="30">
        <f>124602/F41</f>
        <v>41534</v>
      </c>
      <c r="F41" s="27">
        <v>3</v>
      </c>
      <c r="G41" s="31">
        <f>2.011834/F41</f>
        <v>0.67061133333333334</v>
      </c>
      <c r="H41" s="30">
        <f t="shared" si="0"/>
        <v>42472</v>
      </c>
      <c r="I41" s="27">
        <f t="shared" si="1"/>
        <v>1.02</v>
      </c>
      <c r="J41" s="27">
        <f t="shared" si="2"/>
        <v>0.375</v>
      </c>
    </row>
    <row r="42" spans="1:10" ht="30" customHeight="1" x14ac:dyDescent="0.2">
      <c r="A42" s="27"/>
      <c r="B42" s="27" t="s">
        <v>535</v>
      </c>
      <c r="C42" s="27" t="s">
        <v>536</v>
      </c>
      <c r="D42" s="24" t="s">
        <v>537</v>
      </c>
      <c r="E42" s="30">
        <f>ROUND(272265/9,0)</f>
        <v>30252</v>
      </c>
      <c r="F42" s="27">
        <v>9</v>
      </c>
      <c r="G42" s="31">
        <v>0.47337299999999516</v>
      </c>
      <c r="H42" s="30">
        <f t="shared" si="0"/>
        <v>29980</v>
      </c>
      <c r="I42" s="27">
        <f t="shared" si="1"/>
        <v>0.99</v>
      </c>
      <c r="J42" s="27">
        <f t="shared" si="2"/>
        <v>-0.32600000000000001</v>
      </c>
    </row>
    <row r="43" spans="1:10" ht="30" customHeight="1" x14ac:dyDescent="0.2">
      <c r="A43" s="27"/>
      <c r="B43" s="27" t="s">
        <v>535</v>
      </c>
      <c r="C43" s="27" t="s">
        <v>538</v>
      </c>
      <c r="D43" s="24" t="s">
        <v>539</v>
      </c>
      <c r="E43" s="30">
        <f>2145*5</f>
        <v>10725</v>
      </c>
      <c r="F43" s="27">
        <v>18</v>
      </c>
      <c r="G43" s="31">
        <f>(99.526627-96.449704)/F43</f>
        <v>0.17094016666666711</v>
      </c>
      <c r="H43" s="30">
        <f t="shared" si="0"/>
        <v>10826</v>
      </c>
      <c r="I43" s="27">
        <f t="shared" si="1"/>
        <v>1.01</v>
      </c>
      <c r="J43" s="27">
        <f t="shared" si="2"/>
        <v>0.24299999999999999</v>
      </c>
    </row>
    <row r="44" spans="1:10" ht="30" customHeight="1" x14ac:dyDescent="0.2">
      <c r="A44" s="27"/>
      <c r="B44" s="27" t="s">
        <v>535</v>
      </c>
      <c r="C44" s="27" t="s">
        <v>538</v>
      </c>
      <c r="D44" s="24" t="s">
        <v>370</v>
      </c>
      <c r="E44" s="30">
        <f>2145*3</f>
        <v>6435</v>
      </c>
      <c r="F44" s="27">
        <v>16</v>
      </c>
      <c r="G44" s="31">
        <f>(99.526627-97.869822)/F44</f>
        <v>0.10355031250000035</v>
      </c>
      <c r="H44" s="30">
        <f t="shared" si="0"/>
        <v>6558</v>
      </c>
      <c r="I44" s="27">
        <f t="shared" si="1"/>
        <v>1.02</v>
      </c>
      <c r="J44" s="27">
        <f t="shared" si="2"/>
        <v>0.26300000000000001</v>
      </c>
    </row>
    <row r="45" spans="1:10" ht="30" customHeight="1" x14ac:dyDescent="0.2">
      <c r="A45" s="27"/>
      <c r="B45" s="27" t="s">
        <v>537</v>
      </c>
      <c r="C45" s="27" t="s">
        <v>540</v>
      </c>
      <c r="D45" s="24" t="s">
        <v>541</v>
      </c>
      <c r="E45" s="30">
        <v>566782</v>
      </c>
      <c r="F45" s="27">
        <v>1</v>
      </c>
      <c r="G45" s="31">
        <v>8.9940829999999998</v>
      </c>
      <c r="H45" s="30">
        <f t="shared" si="0"/>
        <v>569621</v>
      </c>
      <c r="I45" s="27">
        <f t="shared" si="1"/>
        <v>1.01</v>
      </c>
      <c r="J45" s="27">
        <f t="shared" si="2"/>
        <v>0.378</v>
      </c>
    </row>
    <row r="46" spans="1:10" ht="30" customHeight="1" x14ac:dyDescent="0.2">
      <c r="A46" s="27"/>
      <c r="B46" s="27" t="s">
        <v>537</v>
      </c>
      <c r="C46" s="27" t="s">
        <v>542</v>
      </c>
      <c r="D46" s="24" t="s">
        <v>543</v>
      </c>
      <c r="E46" s="30"/>
      <c r="F46" s="27"/>
      <c r="G46" s="31"/>
      <c r="H46" s="30">
        <f t="shared" si="0"/>
        <v>0</v>
      </c>
      <c r="I46" s="27" t="e">
        <f t="shared" si="1"/>
        <v>#DIV/0!</v>
      </c>
      <c r="J46" s="27">
        <f t="shared" si="2"/>
        <v>0</v>
      </c>
    </row>
    <row r="47" spans="1:10" ht="30" customHeight="1" x14ac:dyDescent="0.2">
      <c r="A47" s="27"/>
      <c r="B47" s="27" t="s">
        <v>537</v>
      </c>
      <c r="C47" s="27" t="s">
        <v>544</v>
      </c>
      <c r="D47" s="24" t="s">
        <v>545</v>
      </c>
      <c r="E47" s="30"/>
      <c r="F47" s="27"/>
      <c r="G47" s="31"/>
      <c r="H47" s="30">
        <f t="shared" si="0"/>
        <v>0</v>
      </c>
      <c r="I47" s="27" t="e">
        <f t="shared" si="1"/>
        <v>#DIV/0!</v>
      </c>
      <c r="J47" s="27">
        <f t="shared" si="2"/>
        <v>0</v>
      </c>
    </row>
    <row r="48" spans="1:10" ht="30" customHeight="1" x14ac:dyDescent="0.2">
      <c r="A48" s="27"/>
      <c r="B48" s="27" t="s">
        <v>537</v>
      </c>
      <c r="C48" s="27" t="s">
        <v>544</v>
      </c>
      <c r="D48" s="24" t="s">
        <v>546</v>
      </c>
      <c r="E48" s="30"/>
      <c r="F48" s="27"/>
      <c r="G48" s="31"/>
      <c r="H48" s="30">
        <f>ROUND(G48/100*4339772,0)</f>
        <v>0</v>
      </c>
      <c r="I48" s="27" t="e">
        <f t="shared" si="1"/>
        <v>#DIV/0!</v>
      </c>
      <c r="J48" s="27">
        <f>ROUND(((G48*F48/100*4339772)-(E48*F48))/7505,3)</f>
        <v>0</v>
      </c>
    </row>
    <row r="49" spans="1:10" ht="30" customHeight="1" x14ac:dyDescent="0.2">
      <c r="A49" s="27"/>
      <c r="B49" s="27" t="s">
        <v>537</v>
      </c>
      <c r="C49" s="27" t="s">
        <v>547</v>
      </c>
      <c r="D49" s="24" t="s">
        <v>548</v>
      </c>
      <c r="E49" s="30">
        <v>550673</v>
      </c>
      <c r="F49" s="27">
        <v>1</v>
      </c>
      <c r="G49" s="31">
        <v>8.5573960000000007</v>
      </c>
      <c r="H49" s="30">
        <f t="shared" ref="H49:H67" si="3">ROUND(G49/100*6333290,0)</f>
        <v>541965</v>
      </c>
      <c r="I49" s="27">
        <f t="shared" si="1"/>
        <v>0.98</v>
      </c>
      <c r="J49" s="27">
        <f t="shared" ref="J49:J67" si="4">ROUND(((G49*F49/100*6333290)-(E49*F49))/7505,3)</f>
        <v>-1.1599999999999999</v>
      </c>
    </row>
    <row r="50" spans="1:10" ht="30" customHeight="1" x14ac:dyDescent="0.2">
      <c r="A50" s="27"/>
      <c r="B50" s="27" t="s">
        <v>537</v>
      </c>
      <c r="C50" s="27" t="s">
        <v>549</v>
      </c>
      <c r="D50" s="24" t="s">
        <v>550</v>
      </c>
      <c r="E50" s="30">
        <v>587619</v>
      </c>
      <c r="F50" s="27">
        <v>1</v>
      </c>
      <c r="G50" s="31">
        <v>9.2307690000000004</v>
      </c>
      <c r="H50" s="30">
        <f t="shared" si="3"/>
        <v>584611</v>
      </c>
      <c r="I50" s="27">
        <f t="shared" si="1"/>
        <v>0.99</v>
      </c>
      <c r="J50" s="27">
        <f t="shared" si="4"/>
        <v>-0.40100000000000002</v>
      </c>
    </row>
    <row r="51" spans="1:10" ht="30" customHeight="1" x14ac:dyDescent="0.2">
      <c r="A51" s="27"/>
      <c r="B51" s="27" t="s">
        <v>537</v>
      </c>
      <c r="C51" s="27" t="s">
        <v>551</v>
      </c>
      <c r="D51" s="24" t="s">
        <v>552</v>
      </c>
      <c r="E51" s="30">
        <v>492051</v>
      </c>
      <c r="F51" s="27">
        <v>1</v>
      </c>
      <c r="G51" s="31">
        <v>7.6923079999999997</v>
      </c>
      <c r="H51" s="30">
        <f t="shared" si="3"/>
        <v>487176</v>
      </c>
      <c r="I51" s="27">
        <f t="shared" si="1"/>
        <v>0.99</v>
      </c>
      <c r="J51" s="27">
        <f t="shared" si="4"/>
        <v>-0.65</v>
      </c>
    </row>
    <row r="52" spans="1:10" ht="30" customHeight="1" x14ac:dyDescent="0.2">
      <c r="A52" s="27"/>
      <c r="B52" s="27" t="s">
        <v>537</v>
      </c>
      <c r="C52" s="27" t="s">
        <v>553</v>
      </c>
      <c r="D52" s="24" t="s">
        <v>554</v>
      </c>
      <c r="E52" s="30">
        <v>823432</v>
      </c>
      <c r="F52" s="27">
        <v>1</v>
      </c>
      <c r="G52" s="31">
        <v>15.029586</v>
      </c>
      <c r="H52" s="30">
        <f t="shared" si="3"/>
        <v>951867</v>
      </c>
      <c r="I52" s="27">
        <f t="shared" si="1"/>
        <v>1.1599999999999999</v>
      </c>
      <c r="J52" s="27">
        <f t="shared" si="4"/>
        <v>17.113</v>
      </c>
    </row>
    <row r="53" spans="1:10" ht="30" customHeight="1" x14ac:dyDescent="0.2">
      <c r="A53" s="27"/>
      <c r="B53" s="27" t="s">
        <v>537</v>
      </c>
      <c r="C53" s="27" t="s">
        <v>553</v>
      </c>
      <c r="D53" s="24" t="s">
        <v>555</v>
      </c>
      <c r="E53" s="30">
        <v>876202</v>
      </c>
      <c r="F53" s="27">
        <v>1</v>
      </c>
      <c r="G53" s="31">
        <v>15.976331</v>
      </c>
      <c r="H53" s="30">
        <f t="shared" si="3"/>
        <v>1011827</v>
      </c>
      <c r="I53" s="27">
        <f t="shared" si="1"/>
        <v>1.1499999999999999</v>
      </c>
      <c r="J53" s="27">
        <f t="shared" si="4"/>
        <v>18.071000000000002</v>
      </c>
    </row>
    <row r="54" spans="1:10" ht="30" customHeight="1" x14ac:dyDescent="0.2">
      <c r="A54" s="27"/>
      <c r="B54" s="27" t="s">
        <v>537</v>
      </c>
      <c r="C54" s="27" t="s">
        <v>556</v>
      </c>
      <c r="D54" s="24" t="s">
        <v>557</v>
      </c>
      <c r="E54" s="30">
        <v>466977</v>
      </c>
      <c r="F54" s="27">
        <v>1</v>
      </c>
      <c r="G54" s="31">
        <v>7.4556209999999998</v>
      </c>
      <c r="H54" s="30">
        <f t="shared" si="3"/>
        <v>472186</v>
      </c>
      <c r="I54" s="27">
        <f t="shared" si="1"/>
        <v>1.01</v>
      </c>
      <c r="J54" s="27">
        <f t="shared" si="4"/>
        <v>0.69399999999999995</v>
      </c>
    </row>
    <row r="55" spans="1:10" ht="30" customHeight="1" x14ac:dyDescent="0.2">
      <c r="A55" s="27"/>
      <c r="B55" s="27" t="s">
        <v>537</v>
      </c>
      <c r="C55" s="27" t="s">
        <v>556</v>
      </c>
      <c r="D55" s="24" t="s">
        <v>558</v>
      </c>
      <c r="E55" s="30">
        <v>461370</v>
      </c>
      <c r="F55" s="27">
        <v>1</v>
      </c>
      <c r="G55" s="31">
        <v>7.4556209999999998</v>
      </c>
      <c r="H55" s="30">
        <f t="shared" si="3"/>
        <v>472186</v>
      </c>
      <c r="I55" s="27">
        <f t="shared" si="1"/>
        <v>1.02</v>
      </c>
      <c r="J55" s="27">
        <f t="shared" si="4"/>
        <v>1.4410000000000001</v>
      </c>
    </row>
    <row r="56" spans="1:10" ht="30" customHeight="1" x14ac:dyDescent="0.2">
      <c r="A56" s="27"/>
      <c r="B56" s="27" t="s">
        <v>537</v>
      </c>
      <c r="C56" s="27" t="s">
        <v>559</v>
      </c>
      <c r="D56" s="24" t="s">
        <v>545</v>
      </c>
      <c r="E56" s="30">
        <v>736988</v>
      </c>
      <c r="F56" s="27">
        <v>1</v>
      </c>
      <c r="G56" s="31">
        <v>15.147929</v>
      </c>
      <c r="H56" s="30">
        <f t="shared" si="3"/>
        <v>959362</v>
      </c>
      <c r="I56" s="27">
        <f t="shared" si="1"/>
        <v>1.3</v>
      </c>
      <c r="J56" s="27">
        <f t="shared" si="4"/>
        <v>29.63</v>
      </c>
    </row>
    <row r="57" spans="1:10" ht="30" customHeight="1" x14ac:dyDescent="0.2">
      <c r="A57" s="27"/>
      <c r="B57" s="27" t="s">
        <v>537</v>
      </c>
      <c r="C57" s="27" t="s">
        <v>560</v>
      </c>
      <c r="D57" s="24" t="s">
        <v>514</v>
      </c>
      <c r="E57" s="30">
        <v>406386</v>
      </c>
      <c r="F57" s="27">
        <v>1</v>
      </c>
      <c r="G57" s="31">
        <v>6.3905320000000003</v>
      </c>
      <c r="H57" s="30">
        <f t="shared" si="3"/>
        <v>404731</v>
      </c>
      <c r="I57" s="27">
        <f t="shared" si="1"/>
        <v>1</v>
      </c>
      <c r="J57" s="27">
        <f t="shared" si="4"/>
        <v>-0.221</v>
      </c>
    </row>
    <row r="58" spans="1:10" ht="30" customHeight="1" x14ac:dyDescent="0.2">
      <c r="A58" s="27"/>
      <c r="B58" s="27" t="s">
        <v>537</v>
      </c>
      <c r="C58" s="27" t="s">
        <v>561</v>
      </c>
      <c r="D58" s="24"/>
      <c r="E58" s="30">
        <v>300466</v>
      </c>
      <c r="F58" s="27">
        <v>1</v>
      </c>
      <c r="G58" s="31">
        <v>4.8520709999999996</v>
      </c>
      <c r="H58" s="30">
        <f t="shared" si="3"/>
        <v>307296</v>
      </c>
      <c r="I58" s="27">
        <f t="shared" si="1"/>
        <v>1.02</v>
      </c>
      <c r="J58" s="27">
        <f t="shared" si="4"/>
        <v>0.91</v>
      </c>
    </row>
    <row r="59" spans="1:10" ht="30" customHeight="1" x14ac:dyDescent="0.2">
      <c r="A59" s="27"/>
      <c r="B59" s="27" t="s">
        <v>537</v>
      </c>
      <c r="C59" s="27" t="s">
        <v>562</v>
      </c>
      <c r="D59" s="24"/>
      <c r="E59" s="30">
        <v>301459</v>
      </c>
      <c r="F59" s="27">
        <v>1</v>
      </c>
      <c r="G59" s="31">
        <v>4.8528169999999999</v>
      </c>
      <c r="H59" s="30">
        <f t="shared" si="3"/>
        <v>307343</v>
      </c>
      <c r="I59" s="27">
        <f t="shared" si="1"/>
        <v>1.02</v>
      </c>
      <c r="J59" s="27">
        <f t="shared" si="4"/>
        <v>0.78400000000000003</v>
      </c>
    </row>
    <row r="60" spans="1:10" ht="30" customHeight="1" x14ac:dyDescent="0.2">
      <c r="A60" s="27"/>
      <c r="B60" s="27" t="s">
        <v>537</v>
      </c>
      <c r="C60" s="27" t="s">
        <v>563</v>
      </c>
      <c r="D60" s="24"/>
      <c r="E60" s="30">
        <v>391146</v>
      </c>
      <c r="F60" s="27">
        <v>1</v>
      </c>
      <c r="G60" s="31">
        <v>6.272189</v>
      </c>
      <c r="H60" s="30">
        <f t="shared" si="3"/>
        <v>397236</v>
      </c>
      <c r="I60" s="27">
        <f t="shared" si="1"/>
        <v>1.02</v>
      </c>
      <c r="J60" s="27">
        <f t="shared" si="4"/>
        <v>0.81100000000000005</v>
      </c>
    </row>
    <row r="61" spans="1:10" ht="30" customHeight="1" x14ac:dyDescent="0.2">
      <c r="A61" s="27"/>
      <c r="B61" s="27" t="s">
        <v>537</v>
      </c>
      <c r="C61" s="27" t="s">
        <v>564</v>
      </c>
      <c r="D61" s="24" t="s">
        <v>552</v>
      </c>
      <c r="E61" s="30">
        <v>391680</v>
      </c>
      <c r="F61" s="27">
        <v>1</v>
      </c>
      <c r="G61" s="31">
        <v>7.3372780000000004</v>
      </c>
      <c r="H61" s="30">
        <f t="shared" si="3"/>
        <v>464691</v>
      </c>
      <c r="I61" s="27">
        <f t="shared" si="1"/>
        <v>1.19</v>
      </c>
      <c r="J61" s="27">
        <f t="shared" si="4"/>
        <v>9.7279999999999998</v>
      </c>
    </row>
    <row r="62" spans="1:10" ht="30" customHeight="1" x14ac:dyDescent="0.2">
      <c r="A62" s="27"/>
      <c r="B62" s="27" t="s">
        <v>537</v>
      </c>
      <c r="C62" s="27" t="s">
        <v>564</v>
      </c>
      <c r="D62" s="24" t="s">
        <v>565</v>
      </c>
      <c r="E62" s="30">
        <v>289251</v>
      </c>
      <c r="F62" s="27">
        <v>1</v>
      </c>
      <c r="G62" s="31">
        <v>5.2070999999999996</v>
      </c>
      <c r="H62" s="30">
        <f t="shared" si="3"/>
        <v>329781</v>
      </c>
      <c r="I62" s="27">
        <f t="shared" si="1"/>
        <v>1.1399999999999999</v>
      </c>
      <c r="J62" s="27">
        <f t="shared" si="4"/>
        <v>5.4</v>
      </c>
    </row>
    <row r="63" spans="1:10" ht="30" customHeight="1" x14ac:dyDescent="0.2">
      <c r="A63" s="27"/>
      <c r="B63" s="27" t="s">
        <v>537</v>
      </c>
      <c r="C63" s="27" t="s">
        <v>566</v>
      </c>
      <c r="D63" s="24" t="s">
        <v>370</v>
      </c>
      <c r="E63" s="30">
        <v>179256</v>
      </c>
      <c r="F63" s="27">
        <v>1</v>
      </c>
      <c r="G63" s="31">
        <v>2.840236</v>
      </c>
      <c r="H63" s="30">
        <f t="shared" si="3"/>
        <v>179880</v>
      </c>
      <c r="I63" s="27">
        <f t="shared" si="1"/>
        <v>1</v>
      </c>
      <c r="J63" s="27">
        <f t="shared" si="4"/>
        <v>8.3000000000000004E-2</v>
      </c>
    </row>
    <row r="64" spans="1:10" ht="30" customHeight="1" x14ac:dyDescent="0.2">
      <c r="A64" s="27"/>
      <c r="B64" s="27" t="s">
        <v>537</v>
      </c>
      <c r="C64" s="27" t="s">
        <v>567</v>
      </c>
      <c r="D64" s="24" t="s">
        <v>552</v>
      </c>
      <c r="E64" s="30">
        <v>823695</v>
      </c>
      <c r="F64" s="27">
        <v>1</v>
      </c>
      <c r="G64" s="31">
        <v>13.254438</v>
      </c>
      <c r="H64" s="30">
        <f t="shared" si="3"/>
        <v>839442</v>
      </c>
      <c r="I64" s="27">
        <f t="shared" si="1"/>
        <v>1.02</v>
      </c>
      <c r="J64" s="27">
        <f t="shared" si="4"/>
        <v>2.0979999999999999</v>
      </c>
    </row>
    <row r="65" spans="1:10" ht="30" customHeight="1" x14ac:dyDescent="0.2">
      <c r="A65" s="27"/>
      <c r="B65" s="27" t="s">
        <v>537</v>
      </c>
      <c r="C65" s="27" t="s">
        <v>568</v>
      </c>
      <c r="D65" s="24" t="s">
        <v>370</v>
      </c>
      <c r="E65" s="30">
        <v>358843</v>
      </c>
      <c r="F65" s="27">
        <v>1</v>
      </c>
      <c r="G65" s="31">
        <v>5.7988160000000004</v>
      </c>
      <c r="H65" s="30">
        <f t="shared" si="3"/>
        <v>367256</v>
      </c>
      <c r="I65" s="27">
        <f t="shared" si="1"/>
        <v>1.02</v>
      </c>
      <c r="J65" s="27">
        <f t="shared" si="4"/>
        <v>1.121</v>
      </c>
    </row>
    <row r="66" spans="1:10" ht="30" customHeight="1" x14ac:dyDescent="0.2">
      <c r="A66" s="27"/>
      <c r="B66" s="27" t="s">
        <v>537</v>
      </c>
      <c r="C66" s="27" t="s">
        <v>569</v>
      </c>
      <c r="D66" s="24" t="s">
        <v>209</v>
      </c>
      <c r="E66" s="30">
        <v>435991</v>
      </c>
      <c r="F66" s="27">
        <v>1</v>
      </c>
      <c r="G66" s="31">
        <v>7.2189350000000001</v>
      </c>
      <c r="H66" s="30">
        <f t="shared" si="3"/>
        <v>457196</v>
      </c>
      <c r="I66" s="27">
        <f t="shared" si="1"/>
        <v>1.05</v>
      </c>
      <c r="J66" s="27">
        <f t="shared" si="4"/>
        <v>2.8250000000000002</v>
      </c>
    </row>
    <row r="67" spans="1:10" ht="30" customHeight="1" x14ac:dyDescent="0.2">
      <c r="A67" s="27"/>
      <c r="B67" s="27" t="s">
        <v>537</v>
      </c>
      <c r="C67" s="27" t="s">
        <v>570</v>
      </c>
      <c r="D67" s="24" t="s">
        <v>571</v>
      </c>
      <c r="E67" s="30">
        <v>402947</v>
      </c>
      <c r="F67" s="27">
        <v>1</v>
      </c>
      <c r="G67" s="31">
        <v>6.3905320000000003</v>
      </c>
      <c r="H67" s="30">
        <f t="shared" si="3"/>
        <v>404731</v>
      </c>
      <c r="I67" s="27">
        <f t="shared" si="1"/>
        <v>1</v>
      </c>
      <c r="J67" s="27">
        <f t="shared" si="4"/>
        <v>0.23799999999999999</v>
      </c>
    </row>
  </sheetData>
  <autoFilter ref="A1:J67" xr:uid="{00000000-0009-0000-0000-000005000000}"/>
  <conditionalFormatting sqref="A1:J67">
    <cfRule type="containsText" dxfId="24" priority="1" operator="containsText" text="!">
      <formula>NOT(ISERROR(SEARCH(("!"),(A1))))</formula>
    </cfRule>
  </conditionalFormatting>
  <conditionalFormatting sqref="I2:I67">
    <cfRule type="colorScale" priority="2">
      <colorScale>
        <cfvo type="min"/>
        <cfvo type="formula" val="1"/>
        <cfvo type="max"/>
        <color rgb="FFE67C73"/>
        <color rgb="FFFFD666"/>
        <color rgb="FF57BB8A"/>
      </colorScale>
    </cfRule>
  </conditionalFormatting>
  <conditionalFormatting sqref="J2:J67">
    <cfRule type="cellIs" dxfId="23" priority="3" operator="between">
      <formula>-2</formula>
      <formula>2</formula>
    </cfRule>
    <cfRule type="cellIs" dxfId="22" priority="4" operator="notBetween">
      <formula>-2</formula>
      <formula>2</formula>
    </cfRule>
  </conditionalFormatting>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FFFF00"/>
    <outlinePr summaryBelow="0" summaryRight="0"/>
  </sheetPr>
  <dimension ref="A1:AC29"/>
  <sheetViews>
    <sheetView workbookViewId="0">
      <pane xSplit="5" ySplit="2" topLeftCell="F3" activePane="bottomRight" state="frozen"/>
      <selection pane="topRight" activeCell="F1" sqref="F1"/>
      <selection pane="bottomLeft" activeCell="A3" sqref="A3"/>
      <selection pane="bottomRight" activeCell="F3" sqref="F3"/>
    </sheetView>
  </sheetViews>
  <sheetFormatPr defaultColWidth="12.5703125" defaultRowHeight="15.75" customHeight="1" x14ac:dyDescent="0.2"/>
  <cols>
    <col min="1" max="1" width="25.28515625" customWidth="1"/>
    <col min="2" max="2" width="10.5703125" customWidth="1"/>
    <col min="3" max="3" width="5" customWidth="1"/>
    <col min="4" max="5" width="5.140625" customWidth="1"/>
    <col min="6" max="6" width="5" customWidth="1"/>
    <col min="7" max="7" width="8.85546875" customWidth="1"/>
    <col min="8" max="11" width="5.140625" customWidth="1"/>
    <col min="12" max="12" width="5" customWidth="1"/>
    <col min="13" max="13" width="8.85546875" customWidth="1"/>
    <col min="14" max="17" width="5.140625" customWidth="1"/>
    <col min="18" max="18" width="5" customWidth="1"/>
    <col min="19" max="19" width="8.85546875" customWidth="1"/>
    <col min="20" max="23" width="5.140625" customWidth="1"/>
    <col min="24" max="24" width="8.85546875" customWidth="1"/>
    <col min="25" max="25" width="9.85546875" customWidth="1"/>
    <col min="26" max="26" width="6.5703125" customWidth="1"/>
    <col min="27" max="27" width="8.42578125" customWidth="1"/>
    <col min="28" max="28" width="19.140625" customWidth="1"/>
    <col min="29" max="29" width="8.140625" customWidth="1"/>
  </cols>
  <sheetData>
    <row r="1" spans="1:29" ht="15" customHeight="1" x14ac:dyDescent="0.2">
      <c r="A1" s="165" t="s">
        <v>572</v>
      </c>
      <c r="B1" s="158"/>
      <c r="C1" s="158"/>
      <c r="D1" s="158"/>
      <c r="E1" s="166"/>
      <c r="F1" s="167" t="s">
        <v>573</v>
      </c>
      <c r="G1" s="158"/>
      <c r="H1" s="158"/>
      <c r="I1" s="158"/>
      <c r="J1" s="158"/>
      <c r="K1" s="166"/>
      <c r="L1" s="168" t="s">
        <v>574</v>
      </c>
      <c r="M1" s="158"/>
      <c r="N1" s="158"/>
      <c r="O1" s="158"/>
      <c r="P1" s="158"/>
      <c r="Q1" s="166"/>
      <c r="R1" s="169" t="s">
        <v>575</v>
      </c>
      <c r="S1" s="158"/>
      <c r="T1" s="158"/>
      <c r="U1" s="158"/>
      <c r="V1" s="158"/>
      <c r="W1" s="166"/>
      <c r="X1" s="32" t="s">
        <v>576</v>
      </c>
      <c r="Y1" s="170" t="s">
        <v>577</v>
      </c>
      <c r="Z1" s="158"/>
      <c r="AA1" s="158"/>
      <c r="AB1" s="164" t="s">
        <v>578</v>
      </c>
      <c r="AC1" s="158"/>
    </row>
    <row r="2" spans="1:29" ht="30" customHeight="1" x14ac:dyDescent="0.2">
      <c r="A2" s="28" t="s">
        <v>579</v>
      </c>
      <c r="B2" s="28" t="s">
        <v>580</v>
      </c>
      <c r="C2" s="28" t="s">
        <v>581</v>
      </c>
      <c r="D2" s="28" t="s">
        <v>537</v>
      </c>
      <c r="E2" s="34" t="s">
        <v>582</v>
      </c>
      <c r="F2" s="28" t="s">
        <v>583</v>
      </c>
      <c r="G2" s="28" t="s">
        <v>370</v>
      </c>
      <c r="H2" s="28" t="s">
        <v>582</v>
      </c>
      <c r="I2" s="28" t="s">
        <v>584</v>
      </c>
      <c r="J2" s="28" t="s">
        <v>585</v>
      </c>
      <c r="K2" s="35" t="s">
        <v>189</v>
      </c>
      <c r="L2" s="28" t="s">
        <v>586</v>
      </c>
      <c r="M2" s="28" t="s">
        <v>370</v>
      </c>
      <c r="N2" s="28" t="s">
        <v>582</v>
      </c>
      <c r="O2" s="28" t="s">
        <v>584</v>
      </c>
      <c r="P2" s="28" t="s">
        <v>585</v>
      </c>
      <c r="Q2" s="35" t="s">
        <v>189</v>
      </c>
      <c r="R2" s="28" t="s">
        <v>587</v>
      </c>
      <c r="S2" s="28" t="s">
        <v>370</v>
      </c>
      <c r="T2" s="28" t="s">
        <v>582</v>
      </c>
      <c r="U2" s="28" t="s">
        <v>584</v>
      </c>
      <c r="V2" s="28" t="s">
        <v>585</v>
      </c>
      <c r="W2" s="35" t="s">
        <v>189</v>
      </c>
      <c r="X2" s="34" t="s">
        <v>370</v>
      </c>
      <c r="Y2" s="28" t="s">
        <v>588</v>
      </c>
      <c r="Z2" s="28" t="s">
        <v>589</v>
      </c>
      <c r="AA2" s="28" t="s">
        <v>590</v>
      </c>
      <c r="AB2" s="158"/>
      <c r="AC2" s="158"/>
    </row>
    <row r="3" spans="1:29" ht="30" customHeight="1" x14ac:dyDescent="0.2">
      <c r="A3" s="36" t="s">
        <v>591</v>
      </c>
      <c r="B3" s="37" t="s">
        <v>592</v>
      </c>
      <c r="C3" s="37"/>
      <c r="D3" s="37"/>
      <c r="E3" s="38" t="s">
        <v>593</v>
      </c>
      <c r="F3" s="39"/>
      <c r="G3" s="40" t="s">
        <v>593</v>
      </c>
      <c r="H3" s="41" t="s">
        <v>593</v>
      </c>
      <c r="I3" s="41" t="s">
        <v>593</v>
      </c>
      <c r="J3" s="41" t="s">
        <v>593</v>
      </c>
      <c r="K3" s="42" t="s">
        <v>593</v>
      </c>
      <c r="L3" s="43"/>
      <c r="M3" s="44">
        <f>138585/5</f>
        <v>27717</v>
      </c>
      <c r="N3" s="45"/>
      <c r="O3" s="45">
        <v>1.22</v>
      </c>
      <c r="P3" s="45"/>
      <c r="Q3" s="46">
        <v>15</v>
      </c>
      <c r="R3" s="47"/>
      <c r="S3" s="48">
        <v>299801</v>
      </c>
      <c r="T3" s="49"/>
      <c r="U3" s="49">
        <v>1.22</v>
      </c>
      <c r="V3" s="49"/>
      <c r="W3" s="50">
        <v>1</v>
      </c>
      <c r="X3" s="51">
        <v>566782</v>
      </c>
      <c r="Y3" s="52">
        <f t="shared" ref="Y3:Y11" si="0">1.3*(1.35*(PRODUCT(G3:K3)+PRODUCT(M3:Q3)+PRODUCT(S3:W3))+X3)</f>
        <v>2268893.5516000004</v>
      </c>
      <c r="Z3" s="53">
        <v>7.6</v>
      </c>
      <c r="AA3" s="52">
        <f t="shared" ref="AA3:AA29" si="1">Y3/Z3</f>
        <v>298538.6252105264</v>
      </c>
      <c r="AB3" s="54" t="s">
        <v>594</v>
      </c>
      <c r="AC3" s="52">
        <v>234268</v>
      </c>
    </row>
    <row r="4" spans="1:29" ht="30" customHeight="1" x14ac:dyDescent="0.2">
      <c r="A4" s="55" t="s">
        <v>595</v>
      </c>
      <c r="B4" s="37" t="s">
        <v>198</v>
      </c>
      <c r="C4" s="37"/>
      <c r="D4" s="37"/>
      <c r="E4" s="56"/>
      <c r="F4" s="39"/>
      <c r="G4" s="40">
        <v>136409</v>
      </c>
      <c r="H4" s="41"/>
      <c r="I4" s="41"/>
      <c r="J4" s="41"/>
      <c r="K4" s="42">
        <v>1</v>
      </c>
      <c r="L4" s="57"/>
      <c r="M4" s="44">
        <v>28588</v>
      </c>
      <c r="N4" s="45">
        <v>1.1499999999999999</v>
      </c>
      <c r="O4" s="45">
        <v>1</v>
      </c>
      <c r="P4" s="45">
        <v>1.0777000000000001</v>
      </c>
      <c r="Q4" s="46">
        <v>1</v>
      </c>
      <c r="R4" s="47"/>
      <c r="S4" s="48">
        <v>94399</v>
      </c>
      <c r="T4" s="49">
        <v>1.47</v>
      </c>
      <c r="U4" s="49">
        <v>1.22</v>
      </c>
      <c r="V4" s="49">
        <v>1.0777000000000001</v>
      </c>
      <c r="W4" s="50">
        <v>9</v>
      </c>
      <c r="X4" s="51">
        <v>566782</v>
      </c>
      <c r="Y4" s="52">
        <f t="shared" si="0"/>
        <v>3920183.5292016328</v>
      </c>
      <c r="Z4" s="53">
        <v>14.2</v>
      </c>
      <c r="AA4" s="52">
        <f t="shared" si="1"/>
        <v>276069.26261983329</v>
      </c>
      <c r="AB4" s="54" t="s">
        <v>367</v>
      </c>
      <c r="AC4" s="52">
        <v>147251</v>
      </c>
    </row>
    <row r="5" spans="1:29" ht="30" customHeight="1" x14ac:dyDescent="0.2">
      <c r="A5" s="36" t="s">
        <v>596</v>
      </c>
      <c r="B5" s="37" t="s">
        <v>19</v>
      </c>
      <c r="C5" s="37"/>
      <c r="D5" s="37"/>
      <c r="E5" s="56"/>
      <c r="F5" s="39"/>
      <c r="G5" s="40">
        <v>22365</v>
      </c>
      <c r="H5" s="41">
        <v>1.47</v>
      </c>
      <c r="I5" s="41">
        <v>1.17</v>
      </c>
      <c r="J5" s="41">
        <v>1.0777000000000001</v>
      </c>
      <c r="K5" s="42">
        <v>21</v>
      </c>
      <c r="L5" s="43"/>
      <c r="M5" s="44">
        <v>22365</v>
      </c>
      <c r="N5" s="45">
        <v>1.4</v>
      </c>
      <c r="O5" s="45">
        <v>1.1000000000000001</v>
      </c>
      <c r="P5" s="45">
        <v>1.0777000000000001</v>
      </c>
      <c r="Q5" s="46">
        <v>21</v>
      </c>
      <c r="R5" s="47"/>
      <c r="S5" s="48">
        <v>26534</v>
      </c>
      <c r="T5" s="49">
        <v>1.47</v>
      </c>
      <c r="U5" s="49">
        <v>1.17</v>
      </c>
      <c r="V5" s="49">
        <v>1.0777000000000001</v>
      </c>
      <c r="W5" s="50">
        <v>21</v>
      </c>
      <c r="X5" s="51">
        <f>472186</f>
        <v>472186</v>
      </c>
      <c r="Y5" s="52">
        <f t="shared" si="0"/>
        <v>5322227.2370927799</v>
      </c>
      <c r="Z5" s="53">
        <v>20.233000000000001</v>
      </c>
      <c r="AA5" s="52">
        <f t="shared" si="1"/>
        <v>263046.86586728512</v>
      </c>
      <c r="AB5" s="54" t="s">
        <v>597</v>
      </c>
      <c r="AC5" s="52">
        <v>146901</v>
      </c>
    </row>
    <row r="6" spans="1:29" ht="30" customHeight="1" x14ac:dyDescent="0.2">
      <c r="A6" s="36" t="s">
        <v>598</v>
      </c>
      <c r="B6" s="37" t="s">
        <v>592</v>
      </c>
      <c r="C6" s="37"/>
      <c r="D6" s="37"/>
      <c r="E6" s="56"/>
      <c r="F6" s="39"/>
      <c r="G6" s="40">
        <v>136409</v>
      </c>
      <c r="H6" s="41"/>
      <c r="I6" s="41"/>
      <c r="J6" s="41"/>
      <c r="K6" s="42">
        <v>1</v>
      </c>
      <c r="L6" s="57"/>
      <c r="M6" s="44">
        <v>28588</v>
      </c>
      <c r="N6" s="45">
        <v>1.1499999999999999</v>
      </c>
      <c r="O6" s="45"/>
      <c r="P6" s="45">
        <v>1.0777000000000001</v>
      </c>
      <c r="Q6" s="46">
        <v>1</v>
      </c>
      <c r="R6" s="47"/>
      <c r="S6" s="48">
        <v>94399</v>
      </c>
      <c r="T6" s="49">
        <f>(1.289*9+1)/10</f>
        <v>1.2601</v>
      </c>
      <c r="U6" s="49">
        <v>1.25</v>
      </c>
      <c r="V6" s="49">
        <v>1.0777000000000001</v>
      </c>
      <c r="W6" s="50">
        <v>10</v>
      </c>
      <c r="X6" s="51">
        <v>566782</v>
      </c>
      <c r="Y6" s="52">
        <f t="shared" si="0"/>
        <v>3850667.8810523716</v>
      </c>
      <c r="Z6" s="53">
        <v>15.066000000000001</v>
      </c>
      <c r="AA6" s="52">
        <f t="shared" si="1"/>
        <v>255586.61098183799</v>
      </c>
      <c r="AB6" s="54" t="s">
        <v>599</v>
      </c>
      <c r="AC6" s="52">
        <v>138676</v>
      </c>
    </row>
    <row r="7" spans="1:29" ht="30" customHeight="1" x14ac:dyDescent="0.2">
      <c r="A7" s="36" t="s">
        <v>600</v>
      </c>
      <c r="B7" s="37" t="s">
        <v>19</v>
      </c>
      <c r="C7" s="37"/>
      <c r="D7" s="37"/>
      <c r="E7" s="56"/>
      <c r="F7" s="39"/>
      <c r="G7" s="44">
        <v>17604</v>
      </c>
      <c r="H7" s="41">
        <v>1.47</v>
      </c>
      <c r="I7" s="41"/>
      <c r="J7" s="41">
        <v>1.0777000000000001</v>
      </c>
      <c r="K7" s="42">
        <v>26</v>
      </c>
      <c r="L7" s="43"/>
      <c r="M7" s="44">
        <v>17604</v>
      </c>
      <c r="N7" s="45">
        <v>1.47</v>
      </c>
      <c r="O7" s="45">
        <v>1.22</v>
      </c>
      <c r="P7" s="45">
        <v>1.0777000000000001</v>
      </c>
      <c r="Q7" s="46">
        <v>26</v>
      </c>
      <c r="R7" s="47"/>
      <c r="S7" s="48">
        <v>94399</v>
      </c>
      <c r="T7" s="49">
        <v>1.47</v>
      </c>
      <c r="U7" s="49">
        <v>1.22</v>
      </c>
      <c r="V7" s="49">
        <v>1.0777000000000001</v>
      </c>
      <c r="W7" s="50">
        <v>9</v>
      </c>
      <c r="X7" s="51">
        <v>472186</v>
      </c>
      <c r="Y7" s="52">
        <f t="shared" si="0"/>
        <v>6320705.3417339465</v>
      </c>
      <c r="Z7" s="53">
        <v>25.815999999999999</v>
      </c>
      <c r="AA7" s="52">
        <f t="shared" si="1"/>
        <v>244836.74239750335</v>
      </c>
      <c r="AB7" s="54" t="s">
        <v>601</v>
      </c>
      <c r="AC7" s="52">
        <v>135340</v>
      </c>
    </row>
    <row r="8" spans="1:29" ht="30" customHeight="1" x14ac:dyDescent="0.2">
      <c r="A8" s="55" t="s">
        <v>602</v>
      </c>
      <c r="B8" s="37" t="s">
        <v>198</v>
      </c>
      <c r="C8" s="37"/>
      <c r="D8" s="37"/>
      <c r="E8" s="56"/>
      <c r="F8" s="39"/>
      <c r="G8" s="40">
        <v>136409</v>
      </c>
      <c r="H8" s="41"/>
      <c r="I8" s="41"/>
      <c r="J8" s="41"/>
      <c r="K8" s="42">
        <v>4</v>
      </c>
      <c r="L8" s="57"/>
      <c r="M8" s="44">
        <v>28588</v>
      </c>
      <c r="N8" s="45">
        <v>1.1499999999999999</v>
      </c>
      <c r="O8" s="45">
        <v>1</v>
      </c>
      <c r="P8" s="45">
        <v>1.0777000000000001</v>
      </c>
      <c r="Q8" s="46">
        <v>4</v>
      </c>
      <c r="R8" s="47"/>
      <c r="S8" s="48">
        <v>94399</v>
      </c>
      <c r="T8" s="49">
        <v>1.2889999999999999</v>
      </c>
      <c r="U8" s="49">
        <v>1.22</v>
      </c>
      <c r="V8" s="49">
        <v>1.0777000000000001</v>
      </c>
      <c r="W8" s="50">
        <v>9</v>
      </c>
      <c r="X8" s="51">
        <f>406386+1900*13+50715</f>
        <v>481801</v>
      </c>
      <c r="Y8" s="52">
        <f t="shared" si="0"/>
        <v>4359611.712651453</v>
      </c>
      <c r="Z8" s="53">
        <v>18.666</v>
      </c>
      <c r="AA8" s="52">
        <f t="shared" si="1"/>
        <v>233558.96885521553</v>
      </c>
      <c r="AB8" s="54" t="s">
        <v>212</v>
      </c>
      <c r="AC8" s="52">
        <v>134336</v>
      </c>
    </row>
    <row r="9" spans="1:29" ht="30" customHeight="1" x14ac:dyDescent="0.2">
      <c r="A9" s="55" t="s">
        <v>603</v>
      </c>
      <c r="B9" s="37" t="s">
        <v>198</v>
      </c>
      <c r="C9" s="37"/>
      <c r="D9" s="37"/>
      <c r="E9" s="56"/>
      <c r="F9" s="39"/>
      <c r="G9" s="40">
        <f>13686*1.15</f>
        <v>15738.9</v>
      </c>
      <c r="H9" s="41">
        <v>1.617</v>
      </c>
      <c r="I9" s="41">
        <v>1</v>
      </c>
      <c r="J9" s="41">
        <v>1.0777000000000001</v>
      </c>
      <c r="K9" s="42">
        <v>2</v>
      </c>
      <c r="L9" s="43"/>
      <c r="M9" s="44">
        <f>138585/5</f>
        <v>27717</v>
      </c>
      <c r="N9" s="45"/>
      <c r="O9" s="45">
        <v>1.22</v>
      </c>
      <c r="P9" s="45"/>
      <c r="Q9" s="46">
        <v>20</v>
      </c>
      <c r="R9" s="47"/>
      <c r="S9" s="48">
        <v>33003</v>
      </c>
      <c r="T9" s="49"/>
      <c r="U9" s="49">
        <v>1.22</v>
      </c>
      <c r="V9" s="49">
        <v>1.0777000000000001</v>
      </c>
      <c r="W9" s="50">
        <v>18</v>
      </c>
      <c r="X9" s="51">
        <v>566782</v>
      </c>
      <c r="Y9" s="52">
        <f t="shared" si="0"/>
        <v>3390741.5287295254</v>
      </c>
      <c r="Z9" s="53">
        <v>15.316000000000001</v>
      </c>
      <c r="AA9" s="52">
        <f t="shared" si="1"/>
        <v>221385.57904998207</v>
      </c>
      <c r="AB9" s="54" t="s">
        <v>465</v>
      </c>
      <c r="AC9" s="52">
        <v>131308</v>
      </c>
    </row>
    <row r="10" spans="1:29" ht="30" customHeight="1" x14ac:dyDescent="0.2">
      <c r="A10" s="36" t="s">
        <v>604</v>
      </c>
      <c r="B10" s="37" t="s">
        <v>198</v>
      </c>
      <c r="C10" s="37"/>
      <c r="D10" s="37"/>
      <c r="E10" s="56"/>
      <c r="F10" s="39"/>
      <c r="G10" s="40">
        <v>136409</v>
      </c>
      <c r="H10" s="41"/>
      <c r="I10" s="41">
        <v>1.1000000000000001</v>
      </c>
      <c r="J10" s="41"/>
      <c r="K10" s="42">
        <v>5</v>
      </c>
      <c r="L10" s="43"/>
      <c r="M10" s="44">
        <v>15783</v>
      </c>
      <c r="N10" s="45">
        <v>1.2</v>
      </c>
      <c r="O10" s="45">
        <v>1.17</v>
      </c>
      <c r="P10" s="45">
        <v>1.0777000000000001</v>
      </c>
      <c r="Q10" s="46">
        <v>10</v>
      </c>
      <c r="R10" s="47"/>
      <c r="S10" s="48">
        <v>94399</v>
      </c>
      <c r="T10" s="49">
        <v>1.2889999999999999</v>
      </c>
      <c r="U10" s="49">
        <v>1.17</v>
      </c>
      <c r="V10" s="49">
        <v>1.0777000000000001</v>
      </c>
      <c r="W10" s="50">
        <v>9</v>
      </c>
      <c r="X10" s="51">
        <f>472186*1.1</f>
        <v>519404.60000000003</v>
      </c>
      <c r="Y10" s="52">
        <f t="shared" si="0"/>
        <v>4834419.4591461513</v>
      </c>
      <c r="Z10" s="53">
        <v>21.85</v>
      </c>
      <c r="AA10" s="52">
        <f t="shared" si="1"/>
        <v>221254.89515543025</v>
      </c>
      <c r="AB10" s="54" t="s">
        <v>605</v>
      </c>
      <c r="AC10" s="52">
        <v>130693</v>
      </c>
    </row>
    <row r="11" spans="1:29" ht="30" customHeight="1" x14ac:dyDescent="0.2">
      <c r="A11" s="55" t="s">
        <v>606</v>
      </c>
      <c r="B11" s="37" t="s">
        <v>198</v>
      </c>
      <c r="C11" s="37"/>
      <c r="D11" s="37"/>
      <c r="E11" s="56"/>
      <c r="F11" s="39"/>
      <c r="G11" s="40">
        <v>136409</v>
      </c>
      <c r="H11" s="41"/>
      <c r="I11" s="41">
        <v>1.17</v>
      </c>
      <c r="J11" s="41"/>
      <c r="K11" s="42">
        <v>6</v>
      </c>
      <c r="L11" s="43"/>
      <c r="M11" s="44">
        <v>15783</v>
      </c>
      <c r="N11" s="45">
        <v>1.2</v>
      </c>
      <c r="O11" s="45">
        <v>1.25</v>
      </c>
      <c r="P11" s="45">
        <v>1.0777000000000001</v>
      </c>
      <c r="Q11" s="46">
        <v>11</v>
      </c>
      <c r="R11" s="47"/>
      <c r="S11" s="48">
        <v>94399</v>
      </c>
      <c r="T11" s="49">
        <v>1.2889999999999999</v>
      </c>
      <c r="U11" s="49">
        <v>1.25</v>
      </c>
      <c r="V11" s="49">
        <v>1.0777000000000001</v>
      </c>
      <c r="W11" s="50">
        <v>9</v>
      </c>
      <c r="X11" s="51">
        <f>472186*1.17</f>
        <v>552457.62</v>
      </c>
      <c r="Y11" s="52">
        <f t="shared" si="0"/>
        <v>5480409.4764462961</v>
      </c>
      <c r="Z11" s="53">
        <v>24.966000000000001</v>
      </c>
      <c r="AA11" s="52">
        <f t="shared" si="1"/>
        <v>219514.91934816533</v>
      </c>
      <c r="AB11" s="54" t="s">
        <v>607</v>
      </c>
      <c r="AC11" s="52">
        <v>122925</v>
      </c>
    </row>
    <row r="12" spans="1:29" ht="30" customHeight="1" x14ac:dyDescent="0.2">
      <c r="A12" s="36" t="s">
        <v>608</v>
      </c>
      <c r="B12" s="37" t="s">
        <v>592</v>
      </c>
      <c r="C12" s="37"/>
      <c r="D12" s="37"/>
      <c r="E12" s="56"/>
      <c r="F12" s="39"/>
      <c r="G12" s="40">
        <v>87799</v>
      </c>
      <c r="H12" s="41"/>
      <c r="I12" s="41"/>
      <c r="J12" s="41"/>
      <c r="K12" s="42">
        <v>2</v>
      </c>
      <c r="L12" s="43"/>
      <c r="M12" s="44">
        <f>22365</f>
        <v>22365</v>
      </c>
      <c r="N12" s="45"/>
      <c r="O12" s="45">
        <v>1.22</v>
      </c>
      <c r="P12" s="45">
        <v>1.0777000000000001</v>
      </c>
      <c r="Q12" s="46">
        <v>3</v>
      </c>
      <c r="R12" s="47"/>
      <c r="S12" s="48">
        <v>94399</v>
      </c>
      <c r="T12" s="49">
        <v>1.4470000000000001</v>
      </c>
      <c r="U12" s="49">
        <v>1.22</v>
      </c>
      <c r="V12" s="49">
        <v>1.0777000000000001</v>
      </c>
      <c r="W12" s="50">
        <v>9</v>
      </c>
      <c r="X12" s="51">
        <f>169639*8+1115341</f>
        <v>2472453</v>
      </c>
      <c r="Y12" s="52">
        <f>1.3*(1.35*(PRODUCT(G12:K12)+PRODUCT(M12:Q12)+PRODUCT(S12:W12))+X12)+(25720+1.0777+27717*5)*1.3*1.35</f>
        <v>6802238.9028564449</v>
      </c>
      <c r="Z12" s="53">
        <v>31.515999999999998</v>
      </c>
      <c r="AA12" s="52">
        <f t="shared" si="1"/>
        <v>215834.46195127699</v>
      </c>
      <c r="AB12" s="54" t="s">
        <v>439</v>
      </c>
      <c r="AC12" s="52">
        <v>121170</v>
      </c>
    </row>
    <row r="13" spans="1:29" ht="30" customHeight="1" x14ac:dyDescent="0.2">
      <c r="A13" s="36" t="s">
        <v>609</v>
      </c>
      <c r="B13" s="37" t="s">
        <v>592</v>
      </c>
      <c r="C13" s="37"/>
      <c r="D13" s="37"/>
      <c r="E13" s="56"/>
      <c r="F13" s="39"/>
      <c r="G13" s="40" t="s">
        <v>593</v>
      </c>
      <c r="H13" s="41" t="s">
        <v>593</v>
      </c>
      <c r="I13" s="41" t="s">
        <v>593</v>
      </c>
      <c r="J13" s="41" t="s">
        <v>593</v>
      </c>
      <c r="K13" s="42" t="s">
        <v>593</v>
      </c>
      <c r="L13" s="43"/>
      <c r="M13" s="44">
        <f t="shared" ref="M13:M14" si="2">138585/5</f>
        <v>27717</v>
      </c>
      <c r="N13" s="45"/>
      <c r="O13" s="45"/>
      <c r="P13" s="45"/>
      <c r="Q13" s="46">
        <v>15</v>
      </c>
      <c r="R13" s="47"/>
      <c r="S13" s="48">
        <v>26534</v>
      </c>
      <c r="T13" s="49">
        <v>1.47</v>
      </c>
      <c r="U13" s="49">
        <v>1.22</v>
      </c>
      <c r="V13" s="49">
        <v>1.0777000000000001</v>
      </c>
      <c r="W13" s="50">
        <v>23</v>
      </c>
      <c r="X13" s="51">
        <f t="shared" ref="X13:X14" si="3">472186</f>
        <v>472186</v>
      </c>
      <c r="Y13" s="52">
        <f t="shared" ref="Y13:Y29" si="4">1.3*(1.35*(PRODUCT(G13:K13)+PRODUCT(M13:Q13)+PRODUCT(S13:W13))+X13)</f>
        <v>3413550.8544558547</v>
      </c>
      <c r="Z13" s="53">
        <v>15.9</v>
      </c>
      <c r="AA13" s="52">
        <f t="shared" si="1"/>
        <v>214688.73298464494</v>
      </c>
      <c r="AB13" s="54" t="s">
        <v>610</v>
      </c>
      <c r="AC13" s="52">
        <v>117082</v>
      </c>
    </row>
    <row r="14" spans="1:29" ht="30" customHeight="1" x14ac:dyDescent="0.2">
      <c r="A14" s="55" t="s">
        <v>611</v>
      </c>
      <c r="B14" s="37" t="s">
        <v>198</v>
      </c>
      <c r="C14" s="37"/>
      <c r="D14" s="37"/>
      <c r="E14" s="56"/>
      <c r="F14" s="39"/>
      <c r="G14" s="40" t="s">
        <v>593</v>
      </c>
      <c r="H14" s="41" t="s">
        <v>593</v>
      </c>
      <c r="I14" s="41" t="s">
        <v>593</v>
      </c>
      <c r="J14" s="41" t="s">
        <v>593</v>
      </c>
      <c r="K14" s="42" t="s">
        <v>593</v>
      </c>
      <c r="L14" s="43"/>
      <c r="M14" s="44">
        <f t="shared" si="2"/>
        <v>27717</v>
      </c>
      <c r="N14" s="45"/>
      <c r="O14" s="45">
        <v>1.22</v>
      </c>
      <c r="P14" s="45"/>
      <c r="Q14" s="46">
        <v>20</v>
      </c>
      <c r="R14" s="47"/>
      <c r="S14" s="48">
        <v>94399</v>
      </c>
      <c r="T14" s="49"/>
      <c r="U14" s="49">
        <v>1.22</v>
      </c>
      <c r="V14" s="49">
        <v>1.0777000000000001</v>
      </c>
      <c r="W14" s="50">
        <v>10</v>
      </c>
      <c r="X14" s="51">
        <f t="shared" si="3"/>
        <v>472186</v>
      </c>
      <c r="Y14" s="52">
        <f t="shared" si="4"/>
        <v>3978961.6150453002</v>
      </c>
      <c r="Z14" s="53">
        <v>18.683</v>
      </c>
      <c r="AA14" s="52">
        <f t="shared" si="1"/>
        <v>212972.30718007282</v>
      </c>
      <c r="AB14" s="54" t="s">
        <v>428</v>
      </c>
      <c r="AC14" s="52">
        <v>115589</v>
      </c>
    </row>
    <row r="15" spans="1:29" ht="30" customHeight="1" x14ac:dyDescent="0.2">
      <c r="A15" s="36" t="s">
        <v>612</v>
      </c>
      <c r="B15" s="37" t="s">
        <v>198</v>
      </c>
      <c r="C15" s="37"/>
      <c r="D15" s="37"/>
      <c r="E15" s="56"/>
      <c r="F15" s="39"/>
      <c r="G15" s="40">
        <f>25917*1.15</f>
        <v>29804.55</v>
      </c>
      <c r="H15" s="41">
        <f>AVERAGE(2,1,1,1,1)</f>
        <v>1.2</v>
      </c>
      <c r="I15" s="41"/>
      <c r="J15" s="41">
        <v>1.0777000000000001</v>
      </c>
      <c r="K15" s="42">
        <v>5</v>
      </c>
      <c r="L15" s="43"/>
      <c r="M15" s="44">
        <v>35401</v>
      </c>
      <c r="N15" s="45"/>
      <c r="O15" s="45">
        <v>1.22</v>
      </c>
      <c r="P15" s="45"/>
      <c r="Q15" s="46">
        <v>7</v>
      </c>
      <c r="R15" s="47"/>
      <c r="S15" s="48">
        <v>94399</v>
      </c>
      <c r="T15" s="49">
        <v>1.2889999999999999</v>
      </c>
      <c r="U15" s="49">
        <v>1.22</v>
      </c>
      <c r="V15" s="49">
        <v>1.0777000000000001</v>
      </c>
      <c r="W15" s="50">
        <v>9</v>
      </c>
      <c r="X15" s="51">
        <f t="shared" ref="X15:X16" si="5">406386+1900*13+50715</f>
        <v>481801</v>
      </c>
      <c r="Y15" s="52">
        <f t="shared" si="4"/>
        <v>4022104.149580203</v>
      </c>
      <c r="Z15" s="53">
        <v>19.25</v>
      </c>
      <c r="AA15" s="52">
        <f t="shared" si="1"/>
        <v>208940.47530286768</v>
      </c>
      <c r="AB15" s="54" t="s">
        <v>613</v>
      </c>
      <c r="AC15" s="52">
        <v>115508</v>
      </c>
    </row>
    <row r="16" spans="1:29" ht="30" customHeight="1" x14ac:dyDescent="0.2">
      <c r="A16" s="36" t="s">
        <v>614</v>
      </c>
      <c r="B16" s="37" t="s">
        <v>198</v>
      </c>
      <c r="C16" s="37"/>
      <c r="D16" s="37"/>
      <c r="E16" s="56"/>
      <c r="F16" s="39"/>
      <c r="G16" s="40">
        <v>136409</v>
      </c>
      <c r="H16" s="41"/>
      <c r="I16" s="41"/>
      <c r="J16" s="41"/>
      <c r="K16" s="42">
        <v>4</v>
      </c>
      <c r="L16" s="57"/>
      <c r="M16" s="44">
        <v>28588</v>
      </c>
      <c r="N16" s="45">
        <v>1.1499999999999999</v>
      </c>
      <c r="O16" s="45"/>
      <c r="P16" s="45">
        <v>1.0777000000000001</v>
      </c>
      <c r="Q16" s="46">
        <v>4</v>
      </c>
      <c r="R16" s="47"/>
      <c r="S16" s="48">
        <v>74469</v>
      </c>
      <c r="T16" s="49">
        <v>1.2889999999999999</v>
      </c>
      <c r="U16" s="49">
        <v>1.22</v>
      </c>
      <c r="V16" s="49">
        <v>1.0777000000000001</v>
      </c>
      <c r="W16" s="50">
        <v>9</v>
      </c>
      <c r="X16" s="51">
        <f t="shared" si="5"/>
        <v>481801</v>
      </c>
      <c r="Y16" s="52">
        <f t="shared" si="4"/>
        <v>3826107.8602021364</v>
      </c>
      <c r="Z16" s="53">
        <v>18.666</v>
      </c>
      <c r="AA16" s="52">
        <f t="shared" si="1"/>
        <v>204977.38456027731</v>
      </c>
      <c r="AB16" s="54" t="s">
        <v>418</v>
      </c>
      <c r="AC16" s="52">
        <v>108695</v>
      </c>
    </row>
    <row r="17" spans="1:29" ht="30" customHeight="1" x14ac:dyDescent="0.2">
      <c r="A17" s="36" t="s">
        <v>615</v>
      </c>
      <c r="B17" s="37" t="s">
        <v>198</v>
      </c>
      <c r="C17" s="37"/>
      <c r="D17" s="37"/>
      <c r="E17" s="56"/>
      <c r="F17" s="39"/>
      <c r="G17" s="40">
        <v>17604</v>
      </c>
      <c r="H17" s="41"/>
      <c r="I17" s="41">
        <v>1.22</v>
      </c>
      <c r="J17" s="41">
        <v>1.0777000000000001</v>
      </c>
      <c r="K17" s="42">
        <v>16</v>
      </c>
      <c r="L17" s="43"/>
      <c r="M17" s="44">
        <f>138585/5</f>
        <v>27717</v>
      </c>
      <c r="N17" s="45"/>
      <c r="O17" s="45"/>
      <c r="P17" s="45"/>
      <c r="Q17" s="46">
        <v>15</v>
      </c>
      <c r="R17" s="47"/>
      <c r="S17" s="48">
        <v>33003</v>
      </c>
      <c r="T17" s="49">
        <f>(1.35*17+1)/18</f>
        <v>1.3305555555555557</v>
      </c>
      <c r="U17" s="49">
        <v>1.22</v>
      </c>
      <c r="V17" s="49">
        <v>1.0777000000000001</v>
      </c>
      <c r="W17" s="50">
        <v>18</v>
      </c>
      <c r="X17" s="51">
        <f>472186</f>
        <v>472186</v>
      </c>
      <c r="Y17" s="52">
        <f t="shared" si="4"/>
        <v>3817290.7605789001</v>
      </c>
      <c r="Z17" s="53">
        <v>19.382999999999999</v>
      </c>
      <c r="AA17" s="52">
        <f t="shared" si="1"/>
        <v>196940.14139085283</v>
      </c>
      <c r="AB17" s="54" t="s">
        <v>426</v>
      </c>
      <c r="AC17" s="52">
        <v>102493</v>
      </c>
    </row>
    <row r="18" spans="1:29" ht="30" customHeight="1" x14ac:dyDescent="0.2">
      <c r="A18" s="55" t="s">
        <v>616</v>
      </c>
      <c r="B18" s="37" t="s">
        <v>617</v>
      </c>
      <c r="C18" s="37"/>
      <c r="D18" s="37"/>
      <c r="E18" s="56"/>
      <c r="F18" s="39"/>
      <c r="G18" s="40">
        <f>27149*1.15</f>
        <v>31221.35</v>
      </c>
      <c r="H18" s="41">
        <v>1.1499999999999999</v>
      </c>
      <c r="I18" s="41">
        <v>1.1000000000000001</v>
      </c>
      <c r="J18" s="41">
        <v>1.0777000000000001</v>
      </c>
      <c r="K18" s="42">
        <v>10</v>
      </c>
      <c r="L18" s="43"/>
      <c r="M18" s="44">
        <v>27149</v>
      </c>
      <c r="N18" s="45">
        <v>1.1499999999999999</v>
      </c>
      <c r="O18" s="45">
        <v>1.17</v>
      </c>
      <c r="P18" s="45">
        <v>1.0777000000000001</v>
      </c>
      <c r="Q18" s="46">
        <v>10</v>
      </c>
      <c r="R18" s="47"/>
      <c r="S18" s="48">
        <v>71544</v>
      </c>
      <c r="T18" s="49"/>
      <c r="U18" s="49">
        <v>1.17</v>
      </c>
      <c r="V18" s="49"/>
      <c r="W18" s="50">
        <v>10</v>
      </c>
      <c r="X18" s="58">
        <v>0</v>
      </c>
      <c r="Y18" s="52">
        <f t="shared" si="4"/>
        <v>2906938.6700911536</v>
      </c>
      <c r="Z18" s="53">
        <v>14.782999999999999</v>
      </c>
      <c r="AA18" s="52">
        <f t="shared" si="1"/>
        <v>196640.64601847756</v>
      </c>
      <c r="AB18" s="54" t="s">
        <v>618</v>
      </c>
      <c r="AC18" s="52">
        <v>91402</v>
      </c>
    </row>
    <row r="19" spans="1:29" ht="30" customHeight="1" x14ac:dyDescent="0.2">
      <c r="A19" s="36" t="s">
        <v>619</v>
      </c>
      <c r="B19" s="37" t="s">
        <v>198</v>
      </c>
      <c r="C19" s="37"/>
      <c r="D19" s="37"/>
      <c r="E19" s="56"/>
      <c r="F19" s="39"/>
      <c r="G19" s="40">
        <f>13686*1.15</f>
        <v>15738.9</v>
      </c>
      <c r="H19" s="41">
        <v>1.617</v>
      </c>
      <c r="I19" s="41"/>
      <c r="J19" s="41">
        <v>1.0777000000000001</v>
      </c>
      <c r="K19" s="42">
        <v>2</v>
      </c>
      <c r="L19" s="43"/>
      <c r="M19" s="44">
        <v>24529</v>
      </c>
      <c r="N19" s="45"/>
      <c r="O19" s="45">
        <v>1.22</v>
      </c>
      <c r="P19" s="45"/>
      <c r="Q19" s="46">
        <v>18</v>
      </c>
      <c r="R19" s="47"/>
      <c r="S19" s="48">
        <v>33003</v>
      </c>
      <c r="T19" s="49"/>
      <c r="U19" s="49">
        <v>1.22</v>
      </c>
      <c r="V19" s="49">
        <v>1.0777000000000001</v>
      </c>
      <c r="W19" s="50">
        <v>18</v>
      </c>
      <c r="X19" s="51">
        <f>472186</f>
        <v>472186</v>
      </c>
      <c r="Y19" s="52">
        <f t="shared" si="4"/>
        <v>3026212.1089295256</v>
      </c>
      <c r="Z19" s="53">
        <v>15.433</v>
      </c>
      <c r="AA19" s="52">
        <f t="shared" si="1"/>
        <v>196087.09317239199</v>
      </c>
      <c r="AB19" s="54" t="s">
        <v>620</v>
      </c>
      <c r="AC19" s="52">
        <v>90955</v>
      </c>
    </row>
    <row r="20" spans="1:29" ht="30" customHeight="1" x14ac:dyDescent="0.2">
      <c r="A20" s="55" t="s">
        <v>621</v>
      </c>
      <c r="B20" s="37" t="s">
        <v>592</v>
      </c>
      <c r="C20" s="37"/>
      <c r="D20" s="37"/>
      <c r="E20" s="38" t="s">
        <v>593</v>
      </c>
      <c r="F20" s="39"/>
      <c r="G20" s="40">
        <f t="shared" ref="G20:G21" si="6">22365*1.15</f>
        <v>25719.749999999996</v>
      </c>
      <c r="H20" s="41"/>
      <c r="I20" s="41"/>
      <c r="J20" s="41">
        <v>1.0777000000000001</v>
      </c>
      <c r="K20" s="42">
        <v>4</v>
      </c>
      <c r="L20" s="43"/>
      <c r="M20" s="44" t="s">
        <v>593</v>
      </c>
      <c r="N20" s="45" t="s">
        <v>593</v>
      </c>
      <c r="O20" s="45" t="s">
        <v>593</v>
      </c>
      <c r="P20" s="45" t="s">
        <v>593</v>
      </c>
      <c r="Q20" s="46" t="s">
        <v>593</v>
      </c>
      <c r="R20" s="47"/>
      <c r="S20" s="48" t="s">
        <v>593</v>
      </c>
      <c r="T20" s="49" t="s">
        <v>593</v>
      </c>
      <c r="U20" s="49" t="s">
        <v>593</v>
      </c>
      <c r="V20" s="49" t="s">
        <v>593</v>
      </c>
      <c r="W20" s="50" t="s">
        <v>593</v>
      </c>
      <c r="X20" s="51">
        <f>169639*6+1115341</f>
        <v>2133175</v>
      </c>
      <c r="Y20" s="52">
        <f t="shared" si="4"/>
        <v>2967709.0855165003</v>
      </c>
      <c r="Z20" s="53">
        <v>15.333</v>
      </c>
      <c r="AA20" s="52">
        <f t="shared" si="1"/>
        <v>193550.45232612666</v>
      </c>
      <c r="AB20" s="54" t="s">
        <v>622</v>
      </c>
      <c r="AC20" s="52">
        <v>90849</v>
      </c>
    </row>
    <row r="21" spans="1:29" ht="30" customHeight="1" x14ac:dyDescent="0.2">
      <c r="A21" s="36" t="s">
        <v>623</v>
      </c>
      <c r="B21" s="37" t="s">
        <v>592</v>
      </c>
      <c r="C21" s="37"/>
      <c r="D21" s="37"/>
      <c r="E21" s="56"/>
      <c r="F21" s="39"/>
      <c r="G21" s="40">
        <f t="shared" si="6"/>
        <v>25719.749999999996</v>
      </c>
      <c r="H21" s="41"/>
      <c r="I21" s="41"/>
      <c r="J21" s="41">
        <v>1.0777000000000001</v>
      </c>
      <c r="K21" s="42">
        <v>4</v>
      </c>
      <c r="L21" s="43"/>
      <c r="M21" s="44">
        <f>138585/5</f>
        <v>27717</v>
      </c>
      <c r="N21" s="45"/>
      <c r="O21" s="45">
        <v>1.22</v>
      </c>
      <c r="P21" s="45"/>
      <c r="Q21" s="46">
        <v>15</v>
      </c>
      <c r="R21" s="47"/>
      <c r="S21" s="48">
        <f>(62771+2*17715)*1.1</f>
        <v>108021.1</v>
      </c>
      <c r="T21" s="49">
        <v>1.4179999999999999</v>
      </c>
      <c r="U21" s="49">
        <v>1.22</v>
      </c>
      <c r="V21" s="49">
        <v>1.0777000000000001</v>
      </c>
      <c r="W21" s="50">
        <v>5.2779999999999996</v>
      </c>
      <c r="X21" s="51">
        <f>169639*8+1115341</f>
        <v>2472453</v>
      </c>
      <c r="Y21" s="52">
        <f t="shared" si="4"/>
        <v>6164416.8549022172</v>
      </c>
      <c r="Z21" s="53">
        <v>32.950000000000003</v>
      </c>
      <c r="AA21" s="52">
        <f t="shared" si="1"/>
        <v>187083.97131721445</v>
      </c>
      <c r="AB21" s="54" t="s">
        <v>624</v>
      </c>
      <c r="AC21" s="52">
        <v>88601</v>
      </c>
    </row>
    <row r="22" spans="1:29" ht="30" customHeight="1" x14ac:dyDescent="0.2">
      <c r="A22" s="36" t="s">
        <v>625</v>
      </c>
      <c r="B22" s="37" t="s">
        <v>592</v>
      </c>
      <c r="C22" s="37"/>
      <c r="D22" s="37"/>
      <c r="E22" s="56"/>
      <c r="F22" s="39"/>
      <c r="G22" s="40">
        <f>25917*1.15</f>
        <v>29804.55</v>
      </c>
      <c r="H22" s="41">
        <f>1.15*1.4</f>
        <v>1.6099999999999999</v>
      </c>
      <c r="I22" s="41">
        <v>1.1000000000000001</v>
      </c>
      <c r="J22" s="41">
        <v>1.0777000000000001</v>
      </c>
      <c r="K22" s="42">
        <v>21</v>
      </c>
      <c r="L22" s="43"/>
      <c r="M22" s="44">
        <v>25917</v>
      </c>
      <c r="N22" s="45">
        <f>1.15*1.4</f>
        <v>1.6099999999999999</v>
      </c>
      <c r="O22" s="45">
        <v>1.17</v>
      </c>
      <c r="P22" s="45">
        <v>1.0777000000000001</v>
      </c>
      <c r="Q22" s="46">
        <v>21</v>
      </c>
      <c r="R22" s="47"/>
      <c r="S22" s="48">
        <v>74154</v>
      </c>
      <c r="T22" s="49">
        <f>AVERAGE(2.9,1,1,1,1)</f>
        <v>1.3800000000000001</v>
      </c>
      <c r="U22" s="49">
        <v>1.17</v>
      </c>
      <c r="V22" s="49"/>
      <c r="W22" s="50">
        <v>5</v>
      </c>
      <c r="X22" s="51">
        <v>566782</v>
      </c>
      <c r="Y22" s="52">
        <f t="shared" si="4"/>
        <v>5822999.5571729876</v>
      </c>
      <c r="Z22" s="53">
        <v>31.6</v>
      </c>
      <c r="AA22" s="52">
        <f t="shared" si="1"/>
        <v>184272.13788522111</v>
      </c>
      <c r="AB22" s="54" t="s">
        <v>422</v>
      </c>
      <c r="AC22" s="52">
        <v>80163</v>
      </c>
    </row>
    <row r="23" spans="1:29" ht="30" customHeight="1" x14ac:dyDescent="0.2">
      <c r="A23" s="36" t="s">
        <v>626</v>
      </c>
      <c r="B23" s="37" t="s">
        <v>198</v>
      </c>
      <c r="C23" s="37"/>
      <c r="D23" s="37"/>
      <c r="E23" s="56"/>
      <c r="F23" s="39"/>
      <c r="G23" s="40">
        <v>362002</v>
      </c>
      <c r="H23" s="41">
        <v>1.5</v>
      </c>
      <c r="I23" s="41">
        <v>1.1000000000000001</v>
      </c>
      <c r="J23" s="41"/>
      <c r="K23" s="42">
        <v>2</v>
      </c>
      <c r="L23" s="43"/>
      <c r="M23" s="44">
        <v>17604</v>
      </c>
      <c r="N23" s="45"/>
      <c r="O23" s="45">
        <v>1.17</v>
      </c>
      <c r="P23" s="45">
        <v>1.0777000000000001</v>
      </c>
      <c r="Q23" s="46">
        <v>17</v>
      </c>
      <c r="R23" s="47"/>
      <c r="S23" s="48">
        <v>94399</v>
      </c>
      <c r="T23" s="49">
        <v>1.2889999999999999</v>
      </c>
      <c r="U23" s="49">
        <v>1.17</v>
      </c>
      <c r="V23" s="49">
        <v>1.0777000000000001</v>
      </c>
      <c r="W23" s="50">
        <v>9</v>
      </c>
      <c r="X23" s="58">
        <v>0</v>
      </c>
      <c r="Y23" s="52">
        <f t="shared" si="4"/>
        <v>5182175.4214983918</v>
      </c>
      <c r="Z23" s="53">
        <v>28.366</v>
      </c>
      <c r="AA23" s="52">
        <f t="shared" si="1"/>
        <v>182689.67854115463</v>
      </c>
      <c r="AB23" s="54"/>
      <c r="AC23" s="52"/>
    </row>
    <row r="24" spans="1:29" ht="30" customHeight="1" x14ac:dyDescent="0.2">
      <c r="A24" s="36" t="s">
        <v>627</v>
      </c>
      <c r="B24" s="37" t="s">
        <v>198</v>
      </c>
      <c r="C24" s="37"/>
      <c r="D24" s="37"/>
      <c r="E24" s="56"/>
      <c r="F24" s="39"/>
      <c r="G24" s="40">
        <v>17604</v>
      </c>
      <c r="H24" s="41">
        <v>1.1499999999999999</v>
      </c>
      <c r="I24" s="41">
        <v>1.17</v>
      </c>
      <c r="J24" s="41">
        <v>1.0777000000000001</v>
      </c>
      <c r="K24" s="42">
        <v>18</v>
      </c>
      <c r="L24" s="43"/>
      <c r="M24" s="44">
        <v>17604</v>
      </c>
      <c r="N24" s="45">
        <v>1.1499999999999999</v>
      </c>
      <c r="O24" s="45">
        <v>1.25</v>
      </c>
      <c r="P24" s="45">
        <v>1.0777000000000001</v>
      </c>
      <c r="Q24" s="46">
        <v>22</v>
      </c>
      <c r="R24" s="47"/>
      <c r="S24" s="48">
        <v>74154</v>
      </c>
      <c r="T24" s="49">
        <f>AVERAGE(2.9,1,1,1)</f>
        <v>1.4750000000000001</v>
      </c>
      <c r="U24" s="49">
        <v>1.25</v>
      </c>
      <c r="V24" s="49"/>
      <c r="W24" s="50">
        <v>4</v>
      </c>
      <c r="X24" s="51">
        <v>566782</v>
      </c>
      <c r="Y24" s="52">
        <f t="shared" si="4"/>
        <v>3555958.5144375768</v>
      </c>
      <c r="Z24" s="53">
        <v>22.8</v>
      </c>
      <c r="AA24" s="52">
        <f t="shared" si="1"/>
        <v>155963.0927384902</v>
      </c>
    </row>
    <row r="25" spans="1:29" ht="30" customHeight="1" x14ac:dyDescent="0.2">
      <c r="A25" s="36" t="s">
        <v>628</v>
      </c>
      <c r="B25" s="37" t="s">
        <v>617</v>
      </c>
      <c r="C25" s="37"/>
      <c r="D25" s="37"/>
      <c r="E25" s="56"/>
      <c r="F25" s="27"/>
      <c r="G25" s="40">
        <v>339278</v>
      </c>
      <c r="H25" s="41">
        <v>1.2</v>
      </c>
      <c r="I25" s="41">
        <v>1.1000000000000001</v>
      </c>
      <c r="J25" s="41">
        <v>1.0777000000000001</v>
      </c>
      <c r="K25" s="42">
        <v>2</v>
      </c>
      <c r="L25" s="43"/>
      <c r="M25" s="44">
        <v>15783</v>
      </c>
      <c r="N25" s="45">
        <f>(36*1.2+4)/40</f>
        <v>1.18</v>
      </c>
      <c r="O25" s="45">
        <v>1.17</v>
      </c>
      <c r="P25" s="45">
        <v>1.0777000000000001</v>
      </c>
      <c r="Q25" s="46">
        <v>24</v>
      </c>
      <c r="R25" s="47"/>
      <c r="S25" s="48">
        <v>71544</v>
      </c>
      <c r="T25" s="49"/>
      <c r="U25" s="49">
        <v>1.17</v>
      </c>
      <c r="V25" s="49"/>
      <c r="W25" s="50">
        <v>9</v>
      </c>
      <c r="X25" s="58">
        <v>0</v>
      </c>
      <c r="Y25" s="52">
        <f t="shared" si="4"/>
        <v>4005334.5398686156</v>
      </c>
      <c r="Z25" s="53">
        <v>29.315999999999999</v>
      </c>
      <c r="AA25" s="52">
        <f t="shared" si="1"/>
        <v>136626.22935832365</v>
      </c>
    </row>
    <row r="26" spans="1:29" ht="30" customHeight="1" x14ac:dyDescent="0.2">
      <c r="A26" s="36" t="s">
        <v>629</v>
      </c>
      <c r="B26" s="37" t="s">
        <v>617</v>
      </c>
      <c r="C26" s="37"/>
      <c r="D26" s="37"/>
      <c r="E26" s="56"/>
      <c r="F26" s="39"/>
      <c r="G26" s="40">
        <f t="shared" ref="G26:G27" si="7">27149*1.15</f>
        <v>31221.35</v>
      </c>
      <c r="H26" s="41">
        <v>1.1499999999999999</v>
      </c>
      <c r="I26" s="41">
        <v>1.1000000000000001</v>
      </c>
      <c r="J26" s="41">
        <v>1.0777000000000001</v>
      </c>
      <c r="K26" s="42">
        <v>19</v>
      </c>
      <c r="L26" s="43"/>
      <c r="M26" s="44">
        <v>27149</v>
      </c>
      <c r="N26" s="45">
        <v>1.1499999999999999</v>
      </c>
      <c r="O26" s="45">
        <v>1.17</v>
      </c>
      <c r="P26" s="45">
        <v>1.0777000000000001</v>
      </c>
      <c r="Q26" s="46">
        <v>19</v>
      </c>
      <c r="R26" s="47"/>
      <c r="S26" s="48">
        <v>23850</v>
      </c>
      <c r="T26" s="49"/>
      <c r="U26" s="49">
        <v>1.17</v>
      </c>
      <c r="V26" s="49"/>
      <c r="W26" s="50">
        <v>19</v>
      </c>
      <c r="X26" s="51">
        <v>566782</v>
      </c>
      <c r="Y26" s="52">
        <f t="shared" si="4"/>
        <v>4399283.0500731925</v>
      </c>
      <c r="Z26" s="53">
        <v>32.549999999999997</v>
      </c>
      <c r="AA26" s="52">
        <f t="shared" si="1"/>
        <v>135154.62519426091</v>
      </c>
    </row>
    <row r="27" spans="1:29" ht="30" customHeight="1" x14ac:dyDescent="0.2">
      <c r="A27" s="55" t="s">
        <v>630</v>
      </c>
      <c r="B27" s="37" t="s">
        <v>617</v>
      </c>
      <c r="C27" s="37"/>
      <c r="D27" s="37"/>
      <c r="E27" s="56"/>
      <c r="F27" s="39"/>
      <c r="G27" s="40">
        <f t="shared" si="7"/>
        <v>31221.35</v>
      </c>
      <c r="H27" s="41">
        <v>1.1499999999999999</v>
      </c>
      <c r="I27" s="41">
        <v>1.1000000000000001</v>
      </c>
      <c r="J27" s="41">
        <v>1.0777000000000001</v>
      </c>
      <c r="K27" s="42">
        <v>19</v>
      </c>
      <c r="L27" s="43"/>
      <c r="M27" s="44">
        <v>27149</v>
      </c>
      <c r="N27" s="45">
        <v>1.1499999999999999</v>
      </c>
      <c r="O27" s="45">
        <v>1.17</v>
      </c>
      <c r="P27" s="45">
        <v>1.0777000000000001</v>
      </c>
      <c r="Q27" s="46">
        <v>19</v>
      </c>
      <c r="R27" s="47"/>
      <c r="S27" s="48">
        <v>23850</v>
      </c>
      <c r="T27" s="49"/>
      <c r="U27" s="49">
        <v>1.17</v>
      </c>
      <c r="V27" s="49"/>
      <c r="W27" s="50">
        <v>19</v>
      </c>
      <c r="X27" s="58">
        <v>0</v>
      </c>
      <c r="Y27" s="52">
        <f t="shared" si="4"/>
        <v>3662466.4500731928</v>
      </c>
      <c r="Z27" s="53">
        <v>27.433</v>
      </c>
      <c r="AA27" s="52">
        <f t="shared" si="1"/>
        <v>133505.86702413854</v>
      </c>
    </row>
    <row r="28" spans="1:29" ht="30" customHeight="1" x14ac:dyDescent="0.2">
      <c r="A28" s="55" t="s">
        <v>631</v>
      </c>
      <c r="B28" s="37" t="s">
        <v>617</v>
      </c>
      <c r="C28" s="37"/>
      <c r="D28" s="37"/>
      <c r="E28" s="56"/>
      <c r="F28" s="39"/>
      <c r="G28" s="40">
        <f>13686*1.15</f>
        <v>15738.9</v>
      </c>
      <c r="H28" s="41">
        <v>1.617</v>
      </c>
      <c r="I28" s="41"/>
      <c r="J28" s="41">
        <v>1.0777000000000001</v>
      </c>
      <c r="K28" s="42">
        <v>16</v>
      </c>
      <c r="L28" s="43"/>
      <c r="M28" s="44">
        <v>15783</v>
      </c>
      <c r="N28" s="45">
        <f>(1.2*16+4)/20</f>
        <v>1.1599999999999999</v>
      </c>
      <c r="O28" s="45">
        <v>1.22</v>
      </c>
      <c r="P28" s="45">
        <v>1.0777000000000001</v>
      </c>
      <c r="Q28" s="46">
        <v>36</v>
      </c>
      <c r="R28" s="47"/>
      <c r="S28" s="48">
        <v>71544</v>
      </c>
      <c r="T28" s="49"/>
      <c r="U28" s="49">
        <v>1.22</v>
      </c>
      <c r="V28" s="49"/>
      <c r="W28" s="50">
        <v>10</v>
      </c>
      <c r="X28" s="51">
        <v>406386</v>
      </c>
      <c r="Y28" s="52">
        <f t="shared" si="4"/>
        <v>4351132.3309242986</v>
      </c>
      <c r="Z28" s="53">
        <v>34.933</v>
      </c>
      <c r="AA28" s="52">
        <f t="shared" si="1"/>
        <v>124556.50333278844</v>
      </c>
    </row>
    <row r="29" spans="1:29" ht="30" customHeight="1" x14ac:dyDescent="0.2">
      <c r="A29" s="36" t="s">
        <v>632</v>
      </c>
      <c r="B29" s="37" t="s">
        <v>198</v>
      </c>
      <c r="C29" s="37"/>
      <c r="D29" s="37"/>
      <c r="E29" s="56"/>
      <c r="F29" s="39"/>
      <c r="G29" s="40">
        <v>87799</v>
      </c>
      <c r="H29" s="41"/>
      <c r="I29" s="41">
        <v>1.17</v>
      </c>
      <c r="J29" s="41"/>
      <c r="K29" s="42">
        <v>4</v>
      </c>
      <c r="L29" s="57"/>
      <c r="M29" s="44">
        <v>28588</v>
      </c>
      <c r="N29" s="45">
        <v>1.1499999999999999</v>
      </c>
      <c r="O29" s="45">
        <v>1.1000000000000001</v>
      </c>
      <c r="P29" s="45">
        <v>1.0777000000000001</v>
      </c>
      <c r="Q29" s="46">
        <v>4</v>
      </c>
      <c r="R29" s="47"/>
      <c r="S29" s="48">
        <v>34454</v>
      </c>
      <c r="T29" s="49">
        <f>(1.35*10+1)/11</f>
        <v>1.3181818181818181</v>
      </c>
      <c r="U29" s="49">
        <v>1.25</v>
      </c>
      <c r="V29" s="49">
        <v>1.0777000000000001</v>
      </c>
      <c r="W29" s="50">
        <v>43</v>
      </c>
      <c r="X29" s="51">
        <f>472186</f>
        <v>472186</v>
      </c>
      <c r="Y29" s="52">
        <f t="shared" si="4"/>
        <v>6225656.8699880876</v>
      </c>
      <c r="Z29" s="53">
        <v>51.616</v>
      </c>
      <c r="AA29" s="52">
        <f t="shared" si="1"/>
        <v>120614.86496412136</v>
      </c>
    </row>
  </sheetData>
  <autoFilter ref="A2:AA29" xr:uid="{00000000-0009-0000-0000-000006000000}">
    <sortState xmlns:xlrd2="http://schemas.microsoft.com/office/spreadsheetml/2017/richdata2" ref="A2:AA29">
      <sortCondition descending="1" ref="AA2:AA29"/>
    </sortState>
  </autoFilter>
  <mergeCells count="6">
    <mergeCell ref="AB1:AC2"/>
    <mergeCell ref="A1:E1"/>
    <mergeCell ref="F1:K1"/>
    <mergeCell ref="L1:Q1"/>
    <mergeCell ref="R1:W1"/>
    <mergeCell ref="Y1:AA1"/>
  </mergeCells>
  <conditionalFormatting sqref="A1:AC1">
    <cfRule type="cellIs" dxfId="21" priority="1" operator="equal">
      <formula>"!"</formula>
    </cfRule>
  </conditionalFormatting>
  <conditionalFormatting sqref="R3 L3:L6 E3:E7 A3:D29 F3:F29 R5 R7:R8 E9:E17 R10:R20 L10:L29 E19:E29 R22:R29">
    <cfRule type="containsText" dxfId="20" priority="2" operator="containsText" text="!">
      <formula>NOT(ISERROR(SEARCH(("!"),(A3))))</formula>
    </cfRule>
  </conditionalFormatting>
  <conditionalFormatting sqref="Y3:Y29">
    <cfRule type="colorScale" priority="4">
      <colorScale>
        <cfvo type="min"/>
        <cfvo type="percentile" val="50"/>
        <cfvo type="max"/>
        <color rgb="FFE67C73"/>
        <color rgb="FFFFD666"/>
        <color rgb="FF57BB8A"/>
      </colorScale>
    </cfRule>
  </conditionalFormatting>
  <conditionalFormatting sqref="Z3:Z29">
    <cfRule type="colorScale" priority="5">
      <colorScale>
        <cfvo type="min"/>
        <cfvo type="percentile" val="50"/>
        <cfvo type="max"/>
        <color rgb="FFE67C73"/>
        <color rgb="FFFFD666"/>
        <color rgb="FF57BB8A"/>
      </colorScale>
    </cfRule>
  </conditionalFormatting>
  <conditionalFormatting sqref="AA3:AA29 AB3:AC31">
    <cfRule type="colorScale" priority="3">
      <colorScale>
        <cfvo type="min"/>
        <cfvo type="percentile" val="50"/>
        <cfvo type="max"/>
        <color rgb="FFE67C73"/>
        <color rgb="FFFFD666"/>
        <color rgb="FF57BB8A"/>
      </colorScale>
    </cfRule>
  </conditionalFormatting>
  <hyperlinks>
    <hyperlink ref="A3" r:id="rId1" xr:uid="{00000000-0004-0000-0600-000000000000}"/>
    <hyperlink ref="A4" r:id="rId2" xr:uid="{00000000-0004-0000-0600-000001000000}"/>
    <hyperlink ref="A5" r:id="rId3" xr:uid="{00000000-0004-0000-0600-000002000000}"/>
    <hyperlink ref="A6" r:id="rId4" xr:uid="{00000000-0004-0000-0600-000003000000}"/>
    <hyperlink ref="A7" r:id="rId5" xr:uid="{00000000-0004-0000-0600-000004000000}"/>
    <hyperlink ref="A8" r:id="rId6" xr:uid="{00000000-0004-0000-0600-000005000000}"/>
    <hyperlink ref="A9" r:id="rId7" xr:uid="{00000000-0004-0000-0600-000006000000}"/>
    <hyperlink ref="A10" r:id="rId8" xr:uid="{00000000-0004-0000-0600-000007000000}"/>
    <hyperlink ref="A11" r:id="rId9" xr:uid="{00000000-0004-0000-0600-000008000000}"/>
    <hyperlink ref="A12" r:id="rId10" xr:uid="{00000000-0004-0000-0600-000009000000}"/>
    <hyperlink ref="A13" r:id="rId11" xr:uid="{00000000-0004-0000-0600-00000A000000}"/>
    <hyperlink ref="A14" r:id="rId12" xr:uid="{00000000-0004-0000-0600-00000B000000}"/>
    <hyperlink ref="A15" r:id="rId13" xr:uid="{00000000-0004-0000-0600-00000C000000}"/>
    <hyperlink ref="A16" r:id="rId14" xr:uid="{00000000-0004-0000-0600-00000D000000}"/>
    <hyperlink ref="A17" r:id="rId15" xr:uid="{00000000-0004-0000-0600-00000E000000}"/>
    <hyperlink ref="A18" r:id="rId16" xr:uid="{00000000-0004-0000-0600-00000F000000}"/>
    <hyperlink ref="A19" r:id="rId17" xr:uid="{00000000-0004-0000-0600-000010000000}"/>
    <hyperlink ref="A20" r:id="rId18" xr:uid="{00000000-0004-0000-0600-000011000000}"/>
    <hyperlink ref="A21" r:id="rId19" xr:uid="{00000000-0004-0000-0600-000012000000}"/>
    <hyperlink ref="A22" r:id="rId20" xr:uid="{00000000-0004-0000-0600-000013000000}"/>
    <hyperlink ref="A23" r:id="rId21" xr:uid="{00000000-0004-0000-0600-000014000000}"/>
    <hyperlink ref="A24" r:id="rId22" xr:uid="{00000000-0004-0000-0600-000015000000}"/>
    <hyperlink ref="A25" r:id="rId23" xr:uid="{00000000-0004-0000-0600-000016000000}"/>
    <hyperlink ref="A26" r:id="rId24" xr:uid="{00000000-0004-0000-0600-000017000000}"/>
    <hyperlink ref="A27" r:id="rId25" xr:uid="{00000000-0004-0000-0600-000018000000}"/>
    <hyperlink ref="A28" r:id="rId26" xr:uid="{00000000-0004-0000-0600-000019000000}"/>
    <hyperlink ref="A29" r:id="rId27" xr:uid="{00000000-0004-0000-0600-00001A000000}"/>
  </hyperlinks>
  <pageMargins left="0.7" right="0.7" top="0.75" bottom="0.75" header="0.3" footer="0.3"/>
  <drawing r:id="rId28"/>
  <legacyDrawing r:id="rId29"/>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0FF00"/>
    <outlinePr summaryBelow="0" summaryRight="0"/>
  </sheetPr>
  <dimension ref="A1:U140"/>
  <sheetViews>
    <sheetView workbookViewId="0">
      <pane xSplit="3" ySplit="1" topLeftCell="D2" activePane="bottomRight" state="frozen"/>
      <selection pane="topRight" activeCell="D1" sqref="D1"/>
      <selection pane="bottomLeft" activeCell="A2" sqref="A2"/>
      <selection pane="bottomRight" activeCell="D2" sqref="D2"/>
    </sheetView>
  </sheetViews>
  <sheetFormatPr defaultColWidth="12.5703125" defaultRowHeight="15.75" customHeight="1" x14ac:dyDescent="0.2"/>
  <cols>
    <col min="1" max="1" width="49.85546875" customWidth="1"/>
    <col min="2" max="2" width="9" customWidth="1"/>
    <col min="3" max="3" width="6.42578125" customWidth="1"/>
    <col min="4" max="4" width="14.140625" customWidth="1"/>
    <col min="5" max="5" width="8.42578125" customWidth="1"/>
    <col min="6" max="7" width="7.28515625" customWidth="1"/>
    <col min="8" max="8" width="4.42578125" customWidth="1"/>
    <col min="9" max="9" width="12.42578125" customWidth="1"/>
    <col min="10" max="11" width="7.5703125" customWidth="1"/>
    <col min="12" max="12" width="8.140625" customWidth="1"/>
    <col min="13" max="17" width="7.5703125" customWidth="1"/>
    <col min="18" max="18" width="9" customWidth="1"/>
    <col min="19" max="19" width="9.140625" customWidth="1"/>
    <col min="20" max="21" width="7.5703125" customWidth="1"/>
  </cols>
  <sheetData>
    <row r="1" spans="1:21" ht="30" customHeight="1" x14ac:dyDescent="0.2">
      <c r="A1" s="1" t="s">
        <v>192</v>
      </c>
      <c r="B1" s="1" t="s">
        <v>357</v>
      </c>
      <c r="C1" s="34" t="s">
        <v>356</v>
      </c>
      <c r="D1" s="1" t="s">
        <v>197</v>
      </c>
      <c r="E1" s="1" t="s">
        <v>633</v>
      </c>
      <c r="F1" s="1" t="s">
        <v>634</v>
      </c>
      <c r="G1" s="1" t="s">
        <v>357</v>
      </c>
      <c r="H1" s="28" t="s">
        <v>189</v>
      </c>
      <c r="I1" s="28" t="s">
        <v>635</v>
      </c>
      <c r="J1" s="28" t="s">
        <v>636</v>
      </c>
      <c r="K1" s="34" t="s">
        <v>589</v>
      </c>
      <c r="L1" s="28" t="s">
        <v>637</v>
      </c>
      <c r="M1" s="28" t="s">
        <v>582</v>
      </c>
      <c r="N1" s="28" t="s">
        <v>584</v>
      </c>
      <c r="O1" s="28" t="s">
        <v>288</v>
      </c>
      <c r="P1" s="28" t="s">
        <v>257</v>
      </c>
      <c r="Q1" s="28" t="s">
        <v>585</v>
      </c>
      <c r="R1" s="34" t="s">
        <v>17</v>
      </c>
      <c r="S1" s="28" t="s">
        <v>588</v>
      </c>
      <c r="T1" s="28" t="s">
        <v>638</v>
      </c>
      <c r="U1" s="28" t="s">
        <v>639</v>
      </c>
    </row>
    <row r="2" spans="1:21" ht="37.5" customHeight="1" x14ac:dyDescent="0.2">
      <c r="A2" s="24" t="s">
        <v>640</v>
      </c>
      <c r="B2" s="24" t="s">
        <v>641</v>
      </c>
      <c r="C2" s="59"/>
      <c r="D2" s="24"/>
      <c r="E2" s="24" t="s">
        <v>642</v>
      </c>
      <c r="F2" s="24" t="s">
        <v>643</v>
      </c>
      <c r="G2" s="24" t="s">
        <v>587</v>
      </c>
      <c r="H2" s="27">
        <v>10</v>
      </c>
      <c r="I2" s="60" t="s">
        <v>644</v>
      </c>
      <c r="J2" s="31">
        <v>1.083</v>
      </c>
      <c r="K2" s="61">
        <f>1.083*9</f>
        <v>9.7469999999999999</v>
      </c>
      <c r="L2" s="52">
        <f>72339*1.27</f>
        <v>91870.53</v>
      </c>
      <c r="M2" s="31">
        <v>1.4</v>
      </c>
      <c r="N2" s="31">
        <v>1.22</v>
      </c>
      <c r="O2" s="31">
        <v>1.35</v>
      </c>
      <c r="P2" s="31">
        <v>1.3</v>
      </c>
      <c r="Q2" s="31">
        <v>1.0777000000000001</v>
      </c>
      <c r="R2" s="62">
        <f t="shared" ref="R2:R25" si="0">PRODUCT(L2:Q2)</f>
        <v>296783.04872235475</v>
      </c>
      <c r="S2" s="52">
        <f>R2*H2</f>
        <v>2967830.4872235474</v>
      </c>
      <c r="T2" s="52">
        <f t="shared" ref="T2:T34" si="1">R2/J2</f>
        <v>274037.90279072465</v>
      </c>
      <c r="U2" s="52">
        <f t="shared" ref="U2:U24" si="2">IFERROR(S2/K2,T2)</f>
        <v>304486.55865636066</v>
      </c>
    </row>
    <row r="3" spans="1:21" ht="37.5" customHeight="1" x14ac:dyDescent="0.2">
      <c r="A3" s="24" t="s">
        <v>645</v>
      </c>
      <c r="B3" s="24" t="s">
        <v>646</v>
      </c>
      <c r="C3" s="59"/>
      <c r="D3" s="24"/>
      <c r="E3" s="24" t="s">
        <v>593</v>
      </c>
      <c r="F3" s="24" t="s">
        <v>593</v>
      </c>
      <c r="G3" s="24" t="s">
        <v>205</v>
      </c>
      <c r="H3" s="27" t="s">
        <v>647</v>
      </c>
      <c r="I3" s="60" t="s">
        <v>593</v>
      </c>
      <c r="J3" s="31">
        <v>1.5</v>
      </c>
      <c r="K3" s="61" t="s">
        <v>593</v>
      </c>
      <c r="L3" s="52">
        <v>32934</v>
      </c>
      <c r="M3" s="31">
        <f>2.5*2.65</f>
        <v>6.625</v>
      </c>
      <c r="N3" s="31"/>
      <c r="O3" s="31">
        <v>1.4</v>
      </c>
      <c r="P3" s="31">
        <v>1.3</v>
      </c>
      <c r="Q3" s="31"/>
      <c r="R3" s="62">
        <f t="shared" si="0"/>
        <v>397101.70499999996</v>
      </c>
      <c r="S3" s="52" t="s">
        <v>647</v>
      </c>
      <c r="T3" s="52">
        <f t="shared" si="1"/>
        <v>264734.46999999997</v>
      </c>
      <c r="U3" s="52">
        <f t="shared" si="2"/>
        <v>264734.46999999997</v>
      </c>
    </row>
    <row r="4" spans="1:21" ht="37.5" customHeight="1" x14ac:dyDescent="0.2">
      <c r="A4" s="24" t="s">
        <v>648</v>
      </c>
      <c r="B4" s="24" t="s">
        <v>641</v>
      </c>
      <c r="C4" s="59"/>
      <c r="D4" s="24"/>
      <c r="E4" s="24" t="s">
        <v>642</v>
      </c>
      <c r="F4" s="24" t="s">
        <v>643</v>
      </c>
      <c r="G4" s="24" t="s">
        <v>587</v>
      </c>
      <c r="H4" s="27">
        <v>9</v>
      </c>
      <c r="I4" s="60" t="s">
        <v>649</v>
      </c>
      <c r="J4" s="31">
        <v>1.3160000000000001</v>
      </c>
      <c r="K4" s="61">
        <f>1.166+1.316*7</f>
        <v>10.378</v>
      </c>
      <c r="L4" s="52">
        <f>72339*1.27</f>
        <v>91870.53</v>
      </c>
      <c r="M4" s="31">
        <v>1.47</v>
      </c>
      <c r="N4" s="31">
        <v>1.22</v>
      </c>
      <c r="O4" s="31">
        <v>1.35</v>
      </c>
      <c r="P4" s="31">
        <v>1.3</v>
      </c>
      <c r="Q4" s="31">
        <v>1.0777000000000001</v>
      </c>
      <c r="R4" s="62">
        <f t="shared" si="0"/>
        <v>311622.20115847257</v>
      </c>
      <c r="S4" s="52">
        <f>R4*9</f>
        <v>2804599.8104262529</v>
      </c>
      <c r="T4" s="52">
        <f t="shared" si="1"/>
        <v>236794.98568272989</v>
      </c>
      <c r="U4" s="52">
        <f t="shared" si="2"/>
        <v>270244.73023956956</v>
      </c>
    </row>
    <row r="5" spans="1:21" ht="37.5" customHeight="1" x14ac:dyDescent="0.2">
      <c r="A5" s="24" t="s">
        <v>650</v>
      </c>
      <c r="B5" s="24" t="s">
        <v>641</v>
      </c>
      <c r="C5" s="59"/>
      <c r="D5" s="24"/>
      <c r="E5" s="24" t="s">
        <v>581</v>
      </c>
      <c r="F5" s="24" t="s">
        <v>643</v>
      </c>
      <c r="G5" s="24" t="s">
        <v>587</v>
      </c>
      <c r="H5" s="27">
        <v>9</v>
      </c>
      <c r="I5" s="60" t="s">
        <v>644</v>
      </c>
      <c r="J5" s="31">
        <v>1.3160000000000001</v>
      </c>
      <c r="K5" s="61">
        <f>J5*8</f>
        <v>10.528</v>
      </c>
      <c r="L5" s="52">
        <v>139370</v>
      </c>
      <c r="M5" s="31"/>
      <c r="N5" s="31">
        <v>1.22</v>
      </c>
      <c r="O5" s="31">
        <v>1.35</v>
      </c>
      <c r="P5" s="31">
        <v>1.3</v>
      </c>
      <c r="Q5" s="31"/>
      <c r="R5" s="62">
        <f t="shared" si="0"/>
        <v>298405.10700000002</v>
      </c>
      <c r="S5" s="52">
        <f>R5*H5</f>
        <v>2685645.963</v>
      </c>
      <c r="T5" s="52">
        <f t="shared" si="1"/>
        <v>226751.60106382979</v>
      </c>
      <c r="U5" s="52">
        <f t="shared" si="2"/>
        <v>255095.55119680849</v>
      </c>
    </row>
    <row r="6" spans="1:21" ht="37.5" customHeight="1" x14ac:dyDescent="0.2">
      <c r="A6" s="24" t="s">
        <v>651</v>
      </c>
      <c r="B6" s="24" t="s">
        <v>652</v>
      </c>
      <c r="C6" s="59"/>
      <c r="D6" s="24" t="s">
        <v>653</v>
      </c>
      <c r="E6" s="24" t="s">
        <v>581</v>
      </c>
      <c r="F6" s="24" t="s">
        <v>586</v>
      </c>
      <c r="G6" s="24" t="s">
        <v>654</v>
      </c>
      <c r="H6" s="27">
        <v>15</v>
      </c>
      <c r="I6" s="60" t="s">
        <v>655</v>
      </c>
      <c r="J6" s="31">
        <v>1.5329999999999999</v>
      </c>
      <c r="K6" s="61">
        <f>0.633+1.533*2</f>
        <v>3.6989999999999998</v>
      </c>
      <c r="L6" s="52">
        <v>138585</v>
      </c>
      <c r="M6" s="31"/>
      <c r="N6" s="31">
        <v>1.22</v>
      </c>
      <c r="O6" s="31">
        <v>1.35</v>
      </c>
      <c r="P6" s="31">
        <v>1.3</v>
      </c>
      <c r="Q6" s="31"/>
      <c r="R6" s="62">
        <f t="shared" si="0"/>
        <v>296724.34350000002</v>
      </c>
      <c r="S6" s="52">
        <f>R6*3</f>
        <v>890173.03050000011</v>
      </c>
      <c r="T6" s="52">
        <f t="shared" si="1"/>
        <v>193557.95401174171</v>
      </c>
      <c r="U6" s="52">
        <f t="shared" si="2"/>
        <v>240652.34671532852</v>
      </c>
    </row>
    <row r="7" spans="1:21" ht="37.5" customHeight="1" x14ac:dyDescent="0.2">
      <c r="A7" s="24" t="s">
        <v>656</v>
      </c>
      <c r="B7" s="24" t="s">
        <v>657</v>
      </c>
      <c r="C7" s="59"/>
      <c r="D7" s="24" t="s">
        <v>658</v>
      </c>
      <c r="E7" s="24" t="s">
        <v>642</v>
      </c>
      <c r="F7" s="24" t="s">
        <v>643</v>
      </c>
      <c r="G7" s="24" t="s">
        <v>587</v>
      </c>
      <c r="H7" s="27">
        <v>19</v>
      </c>
      <c r="I7" s="60" t="s">
        <v>659</v>
      </c>
      <c r="J7" s="31">
        <f>0.508*0.6</f>
        <v>0.30480000000000002</v>
      </c>
      <c r="K7" s="61">
        <f>0.305*14+0.833+0.305*3</f>
        <v>6.0179999999999998</v>
      </c>
      <c r="L7" s="52">
        <v>33003</v>
      </c>
      <c r="M7" s="31"/>
      <c r="N7" s="31">
        <v>1.22</v>
      </c>
      <c r="O7" s="31">
        <v>1.35</v>
      </c>
      <c r="P7" s="31">
        <v>1.3</v>
      </c>
      <c r="Q7" s="31">
        <v>1.0777000000000001</v>
      </c>
      <c r="R7" s="62">
        <f t="shared" si="0"/>
        <v>76153.21690041</v>
      </c>
      <c r="S7" s="52">
        <f>R7*19</f>
        <v>1446911.1211077899</v>
      </c>
      <c r="T7" s="52">
        <f t="shared" si="1"/>
        <v>249846.51214045275</v>
      </c>
      <c r="U7" s="52">
        <f t="shared" si="2"/>
        <v>240430.56183246759</v>
      </c>
    </row>
    <row r="8" spans="1:21" ht="37.5" customHeight="1" x14ac:dyDescent="0.2">
      <c r="A8" s="24" t="s">
        <v>660</v>
      </c>
      <c r="B8" s="24" t="s">
        <v>641</v>
      </c>
      <c r="C8" s="59"/>
      <c r="D8" s="24"/>
      <c r="E8" s="24" t="s">
        <v>642</v>
      </c>
      <c r="F8" s="24" t="s">
        <v>643</v>
      </c>
      <c r="G8" s="24" t="s">
        <v>587</v>
      </c>
      <c r="H8" s="27">
        <v>10</v>
      </c>
      <c r="I8" s="60" t="s">
        <v>661</v>
      </c>
      <c r="J8" s="31">
        <v>1.083</v>
      </c>
      <c r="K8" s="61">
        <f>1.083*3+1.433*6</f>
        <v>11.847000000000001</v>
      </c>
      <c r="L8" s="52">
        <f>72339*1.27</f>
        <v>91870.53</v>
      </c>
      <c r="M8" s="31">
        <f>1.289</f>
        <v>1.2889999999999999</v>
      </c>
      <c r="N8" s="31">
        <v>1.25</v>
      </c>
      <c r="O8" s="31">
        <v>1.35</v>
      </c>
      <c r="P8" s="31">
        <v>1.3</v>
      </c>
      <c r="Q8" s="31">
        <v>1.0777000000000001</v>
      </c>
      <c r="R8" s="62">
        <f t="shared" si="0"/>
        <v>279971.71384888416</v>
      </c>
      <c r="S8" s="52">
        <f>R8*10</f>
        <v>2799717.1384888417</v>
      </c>
      <c r="T8" s="52">
        <f t="shared" si="1"/>
        <v>258514.97123627347</v>
      </c>
      <c r="U8" s="52">
        <f t="shared" si="2"/>
        <v>236322.87823827477</v>
      </c>
    </row>
    <row r="9" spans="1:21" ht="37.5" customHeight="1" x14ac:dyDescent="0.2">
      <c r="A9" s="24" t="s">
        <v>662</v>
      </c>
      <c r="B9" s="24" t="s">
        <v>646</v>
      </c>
      <c r="C9" s="59"/>
      <c r="D9" s="24"/>
      <c r="E9" s="24" t="s">
        <v>593</v>
      </c>
      <c r="F9" s="24" t="s">
        <v>593</v>
      </c>
      <c r="G9" s="24" t="s">
        <v>205</v>
      </c>
      <c r="H9" s="27">
        <v>21</v>
      </c>
      <c r="I9" s="60" t="s">
        <v>663</v>
      </c>
      <c r="J9" s="31">
        <v>1.5</v>
      </c>
      <c r="K9" s="61">
        <v>31.5</v>
      </c>
      <c r="L9" s="52">
        <v>32934</v>
      </c>
      <c r="M9" s="31">
        <f>2.5*3.75</f>
        <v>9.375</v>
      </c>
      <c r="N9" s="31"/>
      <c r="O9" s="31">
        <v>1.4</v>
      </c>
      <c r="P9" s="31">
        <v>1.3</v>
      </c>
      <c r="Q9" s="31"/>
      <c r="R9" s="62">
        <f t="shared" si="0"/>
        <v>561936.375</v>
      </c>
      <c r="S9" s="52">
        <f>(149850*3*3.75)+(149850*2*3.2)+(149850*4*2.65)+(149850*5*2.1)+(149850*7*1.55)</f>
        <v>7432560</v>
      </c>
      <c r="T9" s="52">
        <f t="shared" si="1"/>
        <v>374624.25</v>
      </c>
      <c r="U9" s="52">
        <f t="shared" si="2"/>
        <v>235954.28571428571</v>
      </c>
    </row>
    <row r="10" spans="1:21" ht="37.5" customHeight="1" x14ac:dyDescent="0.2">
      <c r="A10" s="24" t="s">
        <v>664</v>
      </c>
      <c r="B10" s="24" t="s">
        <v>641</v>
      </c>
      <c r="C10" s="59"/>
      <c r="D10" s="24"/>
      <c r="E10" s="24" t="s">
        <v>642</v>
      </c>
      <c r="F10" s="24" t="s">
        <v>643</v>
      </c>
      <c r="G10" s="24" t="s">
        <v>587</v>
      </c>
      <c r="H10" s="27">
        <v>9</v>
      </c>
      <c r="I10" s="60" t="s">
        <v>649</v>
      </c>
      <c r="J10" s="31">
        <v>1.3160000000000001</v>
      </c>
      <c r="K10" s="61">
        <f>1.166+1.316*7</f>
        <v>10.378</v>
      </c>
      <c r="L10" s="52">
        <f>72339*1.27</f>
        <v>91870.53</v>
      </c>
      <c r="M10" s="31">
        <v>1.2889999999999999</v>
      </c>
      <c r="N10" s="31">
        <v>1.22</v>
      </c>
      <c r="O10" s="31">
        <v>1.35</v>
      </c>
      <c r="P10" s="31">
        <v>1.3</v>
      </c>
      <c r="Q10" s="31">
        <v>1.0777000000000001</v>
      </c>
      <c r="R10" s="62">
        <f t="shared" si="0"/>
        <v>273252.39271651098</v>
      </c>
      <c r="S10" s="52">
        <f>R10*8+R10/1.289</f>
        <v>2398007.0336766271</v>
      </c>
      <c r="T10" s="52">
        <f t="shared" si="1"/>
        <v>207638.59628914206</v>
      </c>
      <c r="U10" s="52">
        <f t="shared" si="2"/>
        <v>231066.39368631982</v>
      </c>
    </row>
    <row r="11" spans="1:21" ht="37.5" customHeight="1" x14ac:dyDescent="0.2">
      <c r="A11" s="24" t="s">
        <v>665</v>
      </c>
      <c r="B11" s="24" t="s">
        <v>657</v>
      </c>
      <c r="C11" s="59"/>
      <c r="D11" s="24" t="s">
        <v>666</v>
      </c>
      <c r="E11" s="24" t="s">
        <v>642</v>
      </c>
      <c r="F11" s="24" t="s">
        <v>643</v>
      </c>
      <c r="G11" s="24" t="s">
        <v>587</v>
      </c>
      <c r="H11" s="27">
        <v>23</v>
      </c>
      <c r="I11" s="60" t="s">
        <v>667</v>
      </c>
      <c r="J11" s="31">
        <f>0.4*0.6</f>
        <v>0.24</v>
      </c>
      <c r="K11" s="61">
        <f t="shared" ref="K11:K12" si="3">J11*12+(0.85+J11*4)*2</f>
        <v>6.5</v>
      </c>
      <c r="L11" s="52">
        <v>26534</v>
      </c>
      <c r="M11" s="31"/>
      <c r="N11" s="31">
        <v>1.22</v>
      </c>
      <c r="O11" s="31">
        <v>1.35</v>
      </c>
      <c r="P11" s="31">
        <v>1.3</v>
      </c>
      <c r="Q11" s="31">
        <v>1.0777000000000001</v>
      </c>
      <c r="R11" s="62">
        <f t="shared" si="0"/>
        <v>61226.235712980008</v>
      </c>
      <c r="S11" s="52">
        <f t="shared" ref="S11:S12" si="4">R11*H11</f>
        <v>1408203.4213985403</v>
      </c>
      <c r="T11" s="52">
        <f t="shared" si="1"/>
        <v>255109.31547075004</v>
      </c>
      <c r="U11" s="52">
        <f t="shared" si="2"/>
        <v>216646.68021516004</v>
      </c>
    </row>
    <row r="12" spans="1:21" ht="37.5" customHeight="1" x14ac:dyDescent="0.2">
      <c r="A12" s="24" t="s">
        <v>668</v>
      </c>
      <c r="B12" s="24" t="s">
        <v>657</v>
      </c>
      <c r="C12" s="59"/>
      <c r="D12" s="24" t="s">
        <v>666</v>
      </c>
      <c r="E12" s="24" t="s">
        <v>642</v>
      </c>
      <c r="F12" s="24" t="s">
        <v>643</v>
      </c>
      <c r="G12" s="24" t="s">
        <v>587</v>
      </c>
      <c r="H12" s="27">
        <v>23</v>
      </c>
      <c r="I12" s="60" t="s">
        <v>667</v>
      </c>
      <c r="J12" s="31">
        <v>0.4</v>
      </c>
      <c r="K12" s="61">
        <f t="shared" si="3"/>
        <v>9.7000000000000011</v>
      </c>
      <c r="L12" s="52">
        <v>26534</v>
      </c>
      <c r="M12" s="31">
        <v>1.47</v>
      </c>
      <c r="N12" s="31">
        <v>1.22</v>
      </c>
      <c r="O12" s="31">
        <v>1.35</v>
      </c>
      <c r="P12" s="31">
        <v>1.3</v>
      </c>
      <c r="Q12" s="31">
        <v>1.0777000000000001</v>
      </c>
      <c r="R12" s="62">
        <f t="shared" si="0"/>
        <v>90002.566498080618</v>
      </c>
      <c r="S12" s="52">
        <f t="shared" si="4"/>
        <v>2070059.0294558541</v>
      </c>
      <c r="T12" s="52">
        <f t="shared" si="1"/>
        <v>225006.41624520154</v>
      </c>
      <c r="U12" s="52">
        <f t="shared" si="2"/>
        <v>213408.14736658288</v>
      </c>
    </row>
    <row r="13" spans="1:21" ht="37.5" customHeight="1" x14ac:dyDescent="0.2">
      <c r="A13" s="24" t="s">
        <v>669</v>
      </c>
      <c r="B13" s="24" t="s">
        <v>670</v>
      </c>
      <c r="C13" s="59"/>
      <c r="D13" s="24"/>
      <c r="E13" s="24" t="s">
        <v>581</v>
      </c>
      <c r="F13" s="24" t="s">
        <v>583</v>
      </c>
      <c r="G13" s="24" t="s">
        <v>671</v>
      </c>
      <c r="H13" s="27" t="s">
        <v>647</v>
      </c>
      <c r="I13" s="60" t="s">
        <v>593</v>
      </c>
      <c r="J13" s="31">
        <f>0.349*16</f>
        <v>5.5839999999999996</v>
      </c>
      <c r="K13" s="61" t="s">
        <v>593</v>
      </c>
      <c r="L13" s="52">
        <v>362002</v>
      </c>
      <c r="M13" s="31">
        <v>1.5</v>
      </c>
      <c r="N13" s="31">
        <v>1.22</v>
      </c>
      <c r="O13" s="31">
        <v>1.35</v>
      </c>
      <c r="P13" s="31">
        <v>1.3</v>
      </c>
      <c r="Q13" s="31"/>
      <c r="R13" s="62">
        <f t="shared" si="0"/>
        <v>1162623.7233000002</v>
      </c>
      <c r="S13" s="52" t="s">
        <v>647</v>
      </c>
      <c r="T13" s="52">
        <f t="shared" si="1"/>
        <v>208206.25417263614</v>
      </c>
      <c r="U13" s="52">
        <f t="shared" si="2"/>
        <v>208206.25417263614</v>
      </c>
    </row>
    <row r="14" spans="1:21" ht="37.5" customHeight="1" x14ac:dyDescent="0.2">
      <c r="A14" s="24" t="s">
        <v>672</v>
      </c>
      <c r="B14" s="24" t="s">
        <v>673</v>
      </c>
      <c r="C14" s="59"/>
      <c r="D14" s="24"/>
      <c r="E14" s="24" t="s">
        <v>581</v>
      </c>
      <c r="F14" s="24" t="s">
        <v>643</v>
      </c>
      <c r="G14" s="24" t="s">
        <v>587</v>
      </c>
      <c r="H14" s="27" t="s">
        <v>647</v>
      </c>
      <c r="I14" s="60" t="s">
        <v>593</v>
      </c>
      <c r="J14" s="31">
        <v>0.45</v>
      </c>
      <c r="K14" s="61" t="s">
        <v>593</v>
      </c>
      <c r="L14" s="52">
        <f>13991*1.25*3</f>
        <v>52466.25</v>
      </c>
      <c r="M14" s="31"/>
      <c r="N14" s="31"/>
      <c r="O14" s="31">
        <v>1.35</v>
      </c>
      <c r="P14" s="31">
        <v>1.3</v>
      </c>
      <c r="Q14" s="31"/>
      <c r="R14" s="62">
        <f t="shared" si="0"/>
        <v>92078.268750000003</v>
      </c>
      <c r="S14" s="52" t="s">
        <v>647</v>
      </c>
      <c r="T14" s="52">
        <f t="shared" si="1"/>
        <v>204618.375</v>
      </c>
      <c r="U14" s="52">
        <f t="shared" si="2"/>
        <v>204618.375</v>
      </c>
    </row>
    <row r="15" spans="1:21" ht="37.5" customHeight="1" x14ac:dyDescent="0.2">
      <c r="A15" s="24" t="s">
        <v>674</v>
      </c>
      <c r="B15" s="24" t="s">
        <v>657</v>
      </c>
      <c r="C15" s="59"/>
      <c r="D15" s="24" t="s">
        <v>658</v>
      </c>
      <c r="E15" s="24" t="s">
        <v>642</v>
      </c>
      <c r="F15" s="24" t="s">
        <v>643</v>
      </c>
      <c r="G15" s="24" t="s">
        <v>587</v>
      </c>
      <c r="H15" s="27">
        <v>19</v>
      </c>
      <c r="I15" s="60" t="s">
        <v>659</v>
      </c>
      <c r="J15" s="31">
        <v>0.50800000000000001</v>
      </c>
      <c r="K15" s="61">
        <f>0.508*14+0.833+0.508*3</f>
        <v>9.4690000000000012</v>
      </c>
      <c r="L15" s="52">
        <v>33003</v>
      </c>
      <c r="M15" s="31">
        <v>1.35</v>
      </c>
      <c r="N15" s="31">
        <v>1.22</v>
      </c>
      <c r="O15" s="31">
        <v>1.35</v>
      </c>
      <c r="P15" s="31">
        <v>1.3</v>
      </c>
      <c r="Q15" s="31">
        <v>1.0777000000000001</v>
      </c>
      <c r="R15" s="62">
        <f t="shared" si="0"/>
        <v>102806.84281555352</v>
      </c>
      <c r="S15" s="52">
        <f>R15*18+R15/1.35</f>
        <v>1926676.3875803733</v>
      </c>
      <c r="T15" s="52">
        <f t="shared" si="1"/>
        <v>202375.67483376677</v>
      </c>
      <c r="U15" s="52">
        <f t="shared" si="2"/>
        <v>203472.00206783958</v>
      </c>
    </row>
    <row r="16" spans="1:21" ht="37.5" customHeight="1" x14ac:dyDescent="0.2">
      <c r="A16" s="24" t="s">
        <v>675</v>
      </c>
      <c r="B16" s="24" t="s">
        <v>641</v>
      </c>
      <c r="C16" s="59"/>
      <c r="D16" s="24"/>
      <c r="E16" s="24" t="s">
        <v>642</v>
      </c>
      <c r="F16" s="24" t="s">
        <v>643</v>
      </c>
      <c r="G16" s="24" t="s">
        <v>587</v>
      </c>
      <c r="H16" s="27">
        <v>9</v>
      </c>
      <c r="I16" s="60" t="s">
        <v>649</v>
      </c>
      <c r="J16" s="31">
        <v>1.1659999999999999</v>
      </c>
      <c r="K16" s="61">
        <f>1.166+1.166+1.166+2.233+2.233+1.166+1.166+2.233</f>
        <v>12.529000000000002</v>
      </c>
      <c r="L16" s="52">
        <f>72339*1.27</f>
        <v>91870.53</v>
      </c>
      <c r="M16" s="31">
        <v>1.2889999999999999</v>
      </c>
      <c r="N16" s="31">
        <v>1.22</v>
      </c>
      <c r="O16" s="31">
        <v>1.35</v>
      </c>
      <c r="P16" s="31">
        <v>1.3</v>
      </c>
      <c r="Q16" s="31">
        <v>1.0777000000000001</v>
      </c>
      <c r="R16" s="62">
        <f t="shared" si="0"/>
        <v>273252.39271651098</v>
      </c>
      <c r="S16" s="52">
        <f>R16*8+R16/1.289</f>
        <v>2398007.0336766271</v>
      </c>
      <c r="T16" s="52">
        <f t="shared" si="1"/>
        <v>234350.25104331991</v>
      </c>
      <c r="U16" s="52">
        <f t="shared" si="2"/>
        <v>191396.52276132387</v>
      </c>
    </row>
    <row r="17" spans="1:21" ht="37.5" customHeight="1" x14ac:dyDescent="0.2">
      <c r="A17" s="24" t="s">
        <v>676</v>
      </c>
      <c r="B17" s="24" t="s">
        <v>652</v>
      </c>
      <c r="C17" s="59"/>
      <c r="D17" s="24" t="s">
        <v>677</v>
      </c>
      <c r="E17" s="24" t="s">
        <v>581</v>
      </c>
      <c r="F17" s="24" t="s">
        <v>586</v>
      </c>
      <c r="G17" s="24" t="s">
        <v>654</v>
      </c>
      <c r="H17" s="27">
        <v>20</v>
      </c>
      <c r="I17" s="60" t="s">
        <v>678</v>
      </c>
      <c r="J17" s="31">
        <v>1.8660000000000001</v>
      </c>
      <c r="K17" s="61">
        <f>0.633+1.866*3</f>
        <v>6.2310000000000008</v>
      </c>
      <c r="L17" s="52">
        <v>138585</v>
      </c>
      <c r="M17" s="31"/>
      <c r="N17" s="31">
        <v>1.22</v>
      </c>
      <c r="O17" s="31">
        <v>1.35</v>
      </c>
      <c r="P17" s="31">
        <v>1.3</v>
      </c>
      <c r="Q17" s="31"/>
      <c r="R17" s="62">
        <f t="shared" si="0"/>
        <v>296724.34350000002</v>
      </c>
      <c r="S17" s="52">
        <f>R17*4</f>
        <v>1186897.3740000001</v>
      </c>
      <c r="T17" s="52">
        <f t="shared" si="1"/>
        <v>159016.26125401928</v>
      </c>
      <c r="U17" s="52">
        <f t="shared" si="2"/>
        <v>190482.6470871449</v>
      </c>
    </row>
    <row r="18" spans="1:21" ht="37.5" customHeight="1" x14ac:dyDescent="0.2">
      <c r="A18" s="24" t="s">
        <v>679</v>
      </c>
      <c r="B18" s="24" t="s">
        <v>641</v>
      </c>
      <c r="C18" s="59"/>
      <c r="D18" s="24"/>
      <c r="E18" s="24" t="s">
        <v>642</v>
      </c>
      <c r="F18" s="24" t="s">
        <v>643</v>
      </c>
      <c r="G18" s="24" t="s">
        <v>587</v>
      </c>
      <c r="H18" s="27">
        <v>10</v>
      </c>
      <c r="I18" s="60" t="s">
        <v>680</v>
      </c>
      <c r="J18" s="31">
        <f>AVERAGE(1.166,1.433)</f>
        <v>1.2995000000000001</v>
      </c>
      <c r="K18" s="61">
        <f>1.166+1.433+1.166+1.433+1.166+1.433+1.166+1.433+1.166</f>
        <v>11.562000000000001</v>
      </c>
      <c r="L18" s="52">
        <f>72339*1.27</f>
        <v>91870.53</v>
      </c>
      <c r="M18" s="31"/>
      <c r="N18" s="31">
        <v>1.22</v>
      </c>
      <c r="O18" s="31">
        <v>1.35</v>
      </c>
      <c r="P18" s="31">
        <v>1.3</v>
      </c>
      <c r="Q18" s="31">
        <v>1.0777000000000001</v>
      </c>
      <c r="R18" s="62">
        <f t="shared" si="0"/>
        <v>211987.89194453915</v>
      </c>
      <c r="S18" s="52">
        <f>R18*10</f>
        <v>2119878.9194453917</v>
      </c>
      <c r="T18" s="52">
        <f t="shared" si="1"/>
        <v>163130.35163104205</v>
      </c>
      <c r="U18" s="52">
        <f t="shared" si="2"/>
        <v>183348.80811670917</v>
      </c>
    </row>
    <row r="19" spans="1:21" ht="37.5" customHeight="1" x14ac:dyDescent="0.2">
      <c r="A19" s="24" t="s">
        <v>681</v>
      </c>
      <c r="B19" s="24" t="s">
        <v>673</v>
      </c>
      <c r="C19" s="59"/>
      <c r="D19" s="24"/>
      <c r="E19" s="24" t="s">
        <v>642</v>
      </c>
      <c r="F19" s="24" t="s">
        <v>586</v>
      </c>
      <c r="G19" s="24" t="s">
        <v>654</v>
      </c>
      <c r="H19" s="27" t="s">
        <v>647</v>
      </c>
      <c r="I19" s="60" t="s">
        <v>593</v>
      </c>
      <c r="J19" s="31">
        <v>0.45</v>
      </c>
      <c r="K19" s="61" t="s">
        <v>593</v>
      </c>
      <c r="L19" s="63">
        <f>9494*1.25*3</f>
        <v>35602.5</v>
      </c>
      <c r="M19" s="31">
        <v>1.3</v>
      </c>
      <c r="N19" s="31"/>
      <c r="O19" s="31">
        <v>1.35</v>
      </c>
      <c r="P19" s="31">
        <v>1.3</v>
      </c>
      <c r="Q19" s="31"/>
      <c r="R19" s="62">
        <f t="shared" si="0"/>
        <v>81227.103750000009</v>
      </c>
      <c r="S19" s="52" t="s">
        <v>647</v>
      </c>
      <c r="T19" s="52">
        <f t="shared" si="1"/>
        <v>180504.67500000002</v>
      </c>
      <c r="U19" s="52">
        <f t="shared" si="2"/>
        <v>180504.67500000002</v>
      </c>
    </row>
    <row r="20" spans="1:21" ht="37.5" customHeight="1" x14ac:dyDescent="0.2">
      <c r="A20" s="24" t="s">
        <v>682</v>
      </c>
      <c r="B20" s="24" t="s">
        <v>641</v>
      </c>
      <c r="C20" s="59"/>
      <c r="D20" s="24"/>
      <c r="E20" s="24" t="s">
        <v>642</v>
      </c>
      <c r="F20" s="24" t="s">
        <v>643</v>
      </c>
      <c r="G20" s="24" t="s">
        <v>587</v>
      </c>
      <c r="H20" s="27">
        <v>15</v>
      </c>
      <c r="I20" s="60" t="s">
        <v>683</v>
      </c>
      <c r="J20" s="31">
        <f>1.083*0.75</f>
        <v>0.81224999999999992</v>
      </c>
      <c r="K20" s="61">
        <f>0.812*6+(1.433+0.812)*4</f>
        <v>13.852</v>
      </c>
      <c r="L20" s="52">
        <f>72339*1.27</f>
        <v>91870.53</v>
      </c>
      <c r="M20" s="31">
        <f>0.75</f>
        <v>0.75</v>
      </c>
      <c r="N20" s="31">
        <v>1.25</v>
      </c>
      <c r="O20" s="31">
        <v>1.35</v>
      </c>
      <c r="P20" s="31">
        <v>1.3</v>
      </c>
      <c r="Q20" s="31">
        <v>1.0777000000000001</v>
      </c>
      <c r="R20" s="62">
        <f t="shared" si="0"/>
        <v>162900.53171967654</v>
      </c>
      <c r="S20" s="52">
        <f>R20*15</f>
        <v>2443507.9757951479</v>
      </c>
      <c r="T20" s="52">
        <f t="shared" si="1"/>
        <v>200554.67124613919</v>
      </c>
      <c r="U20" s="52">
        <f t="shared" si="2"/>
        <v>176401.09556707682</v>
      </c>
    </row>
    <row r="21" spans="1:21" ht="37.5" customHeight="1" x14ac:dyDescent="0.2">
      <c r="A21" s="24" t="s">
        <v>684</v>
      </c>
      <c r="B21" s="24" t="s">
        <v>657</v>
      </c>
      <c r="C21" s="59"/>
      <c r="D21" s="24" t="s">
        <v>658</v>
      </c>
      <c r="E21" s="24" t="s">
        <v>642</v>
      </c>
      <c r="F21" s="24" t="s">
        <v>643</v>
      </c>
      <c r="G21" s="24" t="s">
        <v>587</v>
      </c>
      <c r="H21" s="27">
        <v>19</v>
      </c>
      <c r="I21" s="60" t="s">
        <v>659</v>
      </c>
      <c r="J21" s="31">
        <v>0.50800000000000001</v>
      </c>
      <c r="K21" s="61">
        <f>0.508*14+0.833+0.508*3</f>
        <v>9.4690000000000012</v>
      </c>
      <c r="L21" s="52">
        <v>33003</v>
      </c>
      <c r="M21" s="31">
        <v>1.4379999999999999</v>
      </c>
      <c r="N21" s="31">
        <v>1.22</v>
      </c>
      <c r="O21" s="31">
        <v>1.35</v>
      </c>
      <c r="P21" s="31">
        <v>1.3</v>
      </c>
      <c r="Q21" s="31">
        <v>1.0777000000000001</v>
      </c>
      <c r="R21" s="62">
        <f t="shared" si="0"/>
        <v>109508.3259027896</v>
      </c>
      <c r="S21" s="52">
        <f>R21*6+R21/1.438*13</f>
        <v>1647041.7751220679</v>
      </c>
      <c r="T21" s="52">
        <f t="shared" si="1"/>
        <v>215567.57067478268</v>
      </c>
      <c r="U21" s="52">
        <f t="shared" si="2"/>
        <v>173940.41346732154</v>
      </c>
    </row>
    <row r="22" spans="1:21" ht="37.5" customHeight="1" x14ac:dyDescent="0.2">
      <c r="A22" s="24" t="s">
        <v>685</v>
      </c>
      <c r="B22" s="24" t="s">
        <v>670</v>
      </c>
      <c r="C22" s="59"/>
      <c r="D22" s="24"/>
      <c r="E22" s="24" t="s">
        <v>642</v>
      </c>
      <c r="F22" s="24" t="s">
        <v>583</v>
      </c>
      <c r="G22" s="24" t="s">
        <v>671</v>
      </c>
      <c r="H22" s="27" t="s">
        <v>647</v>
      </c>
      <c r="I22" s="60" t="s">
        <v>593</v>
      </c>
      <c r="J22" s="31">
        <v>5.5679999999999996</v>
      </c>
      <c r="K22" s="61" t="s">
        <v>593</v>
      </c>
      <c r="L22" s="52">
        <v>339278</v>
      </c>
      <c r="M22" s="31">
        <v>1.2</v>
      </c>
      <c r="N22" s="31">
        <v>1.22</v>
      </c>
      <c r="O22" s="31">
        <v>1.35</v>
      </c>
      <c r="P22" s="31">
        <v>1.3</v>
      </c>
      <c r="Q22" s="31">
        <v>1.0777000000000001</v>
      </c>
      <c r="R22" s="62">
        <f t="shared" si="0"/>
        <v>939445.90940959204</v>
      </c>
      <c r="S22" s="52" t="s">
        <v>647</v>
      </c>
      <c r="T22" s="52">
        <f t="shared" si="1"/>
        <v>168722.32568419399</v>
      </c>
      <c r="U22" s="52">
        <f t="shared" si="2"/>
        <v>168722.32568419399</v>
      </c>
    </row>
    <row r="23" spans="1:21" ht="37.5" customHeight="1" x14ac:dyDescent="0.2">
      <c r="A23" s="24" t="s">
        <v>686</v>
      </c>
      <c r="B23" s="24" t="s">
        <v>641</v>
      </c>
      <c r="C23" s="59"/>
      <c r="D23" s="24"/>
      <c r="E23" s="24" t="s">
        <v>642</v>
      </c>
      <c r="F23" s="24" t="s">
        <v>643</v>
      </c>
      <c r="G23" s="24" t="s">
        <v>587</v>
      </c>
      <c r="H23" s="27">
        <v>9</v>
      </c>
      <c r="I23" s="60" t="s">
        <v>644</v>
      </c>
      <c r="J23" s="31">
        <v>1.466</v>
      </c>
      <c r="K23" s="61">
        <f>1.466+2.233+1.466+2.233+1.466+2.233+1.466+2.233</f>
        <v>14.795999999999999</v>
      </c>
      <c r="L23" s="52">
        <f t="shared" ref="L23:L24" si="5">72339*1.27</f>
        <v>91870.53</v>
      </c>
      <c r="M23" s="31">
        <v>1.2889999999999999</v>
      </c>
      <c r="N23" s="31">
        <v>1.22</v>
      </c>
      <c r="O23" s="31">
        <v>1.35</v>
      </c>
      <c r="P23" s="31">
        <v>1.3</v>
      </c>
      <c r="Q23" s="31">
        <v>1.0777000000000001</v>
      </c>
      <c r="R23" s="62">
        <f t="shared" si="0"/>
        <v>273252.39271651098</v>
      </c>
      <c r="S23" s="52">
        <f>R23*8+R23/1.289</f>
        <v>2398007.0336766271</v>
      </c>
      <c r="T23" s="52">
        <f t="shared" si="1"/>
        <v>186393.17374932536</v>
      </c>
      <c r="U23" s="52">
        <f t="shared" si="2"/>
        <v>162071.30533094265</v>
      </c>
    </row>
    <row r="24" spans="1:21" ht="37.5" customHeight="1" x14ac:dyDescent="0.2">
      <c r="A24" s="24" t="s">
        <v>687</v>
      </c>
      <c r="B24" s="24" t="s">
        <v>641</v>
      </c>
      <c r="C24" s="59"/>
      <c r="D24" s="24"/>
      <c r="E24" s="24" t="s">
        <v>642</v>
      </c>
      <c r="F24" s="24" t="s">
        <v>643</v>
      </c>
      <c r="G24" s="24" t="s">
        <v>587</v>
      </c>
      <c r="H24" s="27">
        <v>14</v>
      </c>
      <c r="I24" s="60" t="s">
        <v>688</v>
      </c>
      <c r="J24" s="31">
        <f>1.166*0.75</f>
        <v>0.87449999999999994</v>
      </c>
      <c r="K24" s="61">
        <f>J24*3+(1.433+J24)*5</f>
        <v>14.161000000000001</v>
      </c>
      <c r="L24" s="52">
        <f t="shared" si="5"/>
        <v>91870.53</v>
      </c>
      <c r="M24" s="31">
        <v>0.75</v>
      </c>
      <c r="N24" s="31">
        <v>1.22</v>
      </c>
      <c r="O24" s="31">
        <v>1.35</v>
      </c>
      <c r="P24" s="31">
        <v>1.3</v>
      </c>
      <c r="Q24" s="31">
        <v>1.0777000000000001</v>
      </c>
      <c r="R24" s="62">
        <f t="shared" si="0"/>
        <v>158990.91895840433</v>
      </c>
      <c r="S24" s="52">
        <f>R24*H24</f>
        <v>2225872.8654176607</v>
      </c>
      <c r="T24" s="52">
        <f t="shared" si="1"/>
        <v>181807.79755106271</v>
      </c>
      <c r="U24" s="52">
        <f t="shared" si="2"/>
        <v>157183.31088324697</v>
      </c>
    </row>
    <row r="25" spans="1:21" ht="37.5" customHeight="1" x14ac:dyDescent="0.2">
      <c r="A25" s="24" t="s">
        <v>689</v>
      </c>
      <c r="B25" s="24" t="s">
        <v>641</v>
      </c>
      <c r="C25" s="59"/>
      <c r="D25" s="24"/>
      <c r="E25" s="24" t="s">
        <v>581</v>
      </c>
      <c r="F25" s="24" t="s">
        <v>643</v>
      </c>
      <c r="G25" s="24" t="s">
        <v>587</v>
      </c>
      <c r="H25" s="27">
        <v>10</v>
      </c>
      <c r="I25" s="60" t="s">
        <v>644</v>
      </c>
      <c r="J25" s="31">
        <v>1.3160000000000001</v>
      </c>
      <c r="K25" s="61">
        <f>J25*9</f>
        <v>11.844000000000001</v>
      </c>
      <c r="L25" s="52">
        <v>179880</v>
      </c>
      <c r="M25" s="31"/>
      <c r="N25" s="31">
        <v>1.22</v>
      </c>
      <c r="O25" s="31">
        <v>1.35</v>
      </c>
      <c r="P25" s="31">
        <v>1.3</v>
      </c>
      <c r="Q25" s="31"/>
      <c r="R25" s="62">
        <f t="shared" si="0"/>
        <v>385141.06800000009</v>
      </c>
      <c r="S25" s="52">
        <f>R25*10</f>
        <v>3851410.6800000006</v>
      </c>
      <c r="T25" s="52">
        <f t="shared" si="1"/>
        <v>292660.38601823716</v>
      </c>
      <c r="U25" s="52">
        <f>(839066*1.22*1.35*1.3)/K25</f>
        <v>151682.21990881459</v>
      </c>
    </row>
    <row r="26" spans="1:21" ht="37.5" customHeight="1" x14ac:dyDescent="0.2">
      <c r="A26" s="24" t="s">
        <v>690</v>
      </c>
      <c r="B26" s="24" t="s">
        <v>652</v>
      </c>
      <c r="C26" s="59"/>
      <c r="D26" s="24" t="s">
        <v>658</v>
      </c>
      <c r="E26" s="24" t="s">
        <v>642</v>
      </c>
      <c r="F26" s="24" t="s">
        <v>19</v>
      </c>
      <c r="G26" s="24" t="s">
        <v>654</v>
      </c>
      <c r="H26" s="27">
        <v>42</v>
      </c>
      <c r="I26" s="60" t="s">
        <v>691</v>
      </c>
      <c r="J26" s="31">
        <f>2.216/4</f>
        <v>0.55400000000000005</v>
      </c>
      <c r="K26" s="61">
        <f>J26*11+(0.833+J26*11)*2+(0.833+0.554*5)</f>
        <v>23.551000000000002</v>
      </c>
      <c r="L26" s="52" t="s">
        <v>692</v>
      </c>
      <c r="M26" s="31">
        <v>1.4</v>
      </c>
      <c r="N26" s="31" t="s">
        <v>693</v>
      </c>
      <c r="O26" s="31">
        <v>1.35</v>
      </c>
      <c r="P26" s="31">
        <v>1.3</v>
      </c>
      <c r="Q26" s="31">
        <v>1.0777000000000001</v>
      </c>
      <c r="R26" s="62">
        <f>AVERAGE(29805*1.4*1.17*1.35*1.3*1.0777,25917*1.4*1.1*1.35*1.3*1.0777)</f>
        <v>83912.961215947522</v>
      </c>
      <c r="S26" s="52">
        <f t="shared" ref="S26:S28" si="6">R26*H26</f>
        <v>3524344.3710697959</v>
      </c>
      <c r="T26" s="52">
        <f t="shared" si="1"/>
        <v>151467.4390179558</v>
      </c>
      <c r="U26" s="52">
        <f t="shared" ref="U26:U140" si="7">IFERROR(S26/K26,T26)</f>
        <v>149647.33434120825</v>
      </c>
    </row>
    <row r="27" spans="1:21" ht="37.5" customHeight="1" x14ac:dyDescent="0.2">
      <c r="A27" s="24" t="s">
        <v>694</v>
      </c>
      <c r="B27" s="24" t="s">
        <v>670</v>
      </c>
      <c r="C27" s="59"/>
      <c r="D27" s="24" t="s">
        <v>695</v>
      </c>
      <c r="E27" s="24" t="s">
        <v>581</v>
      </c>
      <c r="F27" s="24" t="s">
        <v>643</v>
      </c>
      <c r="G27" s="24" t="s">
        <v>587</v>
      </c>
      <c r="H27" s="27">
        <v>15</v>
      </c>
      <c r="I27" s="60" t="s">
        <v>644</v>
      </c>
      <c r="J27" s="31">
        <v>1.3</v>
      </c>
      <c r="K27" s="61">
        <f>1.3*14</f>
        <v>18.2</v>
      </c>
      <c r="L27" s="52">
        <v>83445</v>
      </c>
      <c r="M27" s="31"/>
      <c r="N27" s="31">
        <v>1.22</v>
      </c>
      <c r="O27" s="31">
        <v>1.35</v>
      </c>
      <c r="P27" s="31">
        <v>1.3</v>
      </c>
      <c r="Q27" s="31"/>
      <c r="R27" s="62">
        <f t="shared" ref="R27:R32" si="8">PRODUCT(L27:Q27)</f>
        <v>178664.08950000003</v>
      </c>
      <c r="S27" s="52">
        <f t="shared" si="6"/>
        <v>2679961.3425000003</v>
      </c>
      <c r="T27" s="52">
        <f t="shared" si="1"/>
        <v>137433.91500000001</v>
      </c>
      <c r="U27" s="52">
        <f t="shared" si="7"/>
        <v>147250.62321428573</v>
      </c>
    </row>
    <row r="28" spans="1:21" ht="37.5" customHeight="1" x14ac:dyDescent="0.2">
      <c r="A28" s="24" t="s">
        <v>696</v>
      </c>
      <c r="B28" s="24" t="s">
        <v>670</v>
      </c>
      <c r="C28" s="59"/>
      <c r="D28" s="24" t="s">
        <v>697</v>
      </c>
      <c r="E28" s="24" t="s">
        <v>581</v>
      </c>
      <c r="F28" s="24" t="s">
        <v>643</v>
      </c>
      <c r="G28" s="24" t="s">
        <v>587</v>
      </c>
      <c r="H28" s="27">
        <v>8</v>
      </c>
      <c r="I28" s="60" t="s">
        <v>644</v>
      </c>
      <c r="J28" s="31">
        <v>1.7330000000000001</v>
      </c>
      <c r="K28" s="61">
        <f>1+1.733*7</f>
        <v>13.131</v>
      </c>
      <c r="L28" s="52">
        <v>112615</v>
      </c>
      <c r="M28" s="31"/>
      <c r="N28" s="31">
        <v>1.22</v>
      </c>
      <c r="O28" s="31">
        <v>1.35</v>
      </c>
      <c r="P28" s="31">
        <v>1.3</v>
      </c>
      <c r="Q28" s="31"/>
      <c r="R28" s="62">
        <f t="shared" si="8"/>
        <v>241119.97650000002</v>
      </c>
      <c r="S28" s="52">
        <f t="shared" si="6"/>
        <v>1928959.8120000002</v>
      </c>
      <c r="T28" s="52">
        <f t="shared" si="1"/>
        <v>139134.43537218697</v>
      </c>
      <c r="U28" s="52">
        <f t="shared" si="7"/>
        <v>146901.2117888965</v>
      </c>
    </row>
    <row r="29" spans="1:21" ht="37.5" customHeight="1" x14ac:dyDescent="0.2">
      <c r="A29" s="24" t="s">
        <v>698</v>
      </c>
      <c r="B29" s="24" t="s">
        <v>641</v>
      </c>
      <c r="C29" s="59"/>
      <c r="D29" s="24"/>
      <c r="E29" s="24" t="s">
        <v>642</v>
      </c>
      <c r="F29" s="24" t="s">
        <v>643</v>
      </c>
      <c r="G29" s="24" t="s">
        <v>587</v>
      </c>
      <c r="H29" s="27">
        <v>10</v>
      </c>
      <c r="I29" s="60" t="s">
        <v>680</v>
      </c>
      <c r="J29" s="31">
        <f>AVERAGE(1.166,2.233)</f>
        <v>1.6995</v>
      </c>
      <c r="K29" s="61">
        <f>1.166+2.233+1.166+2.233+1.166+2.233+1.166+2.233+1.166</f>
        <v>14.762000000000002</v>
      </c>
      <c r="L29" s="52">
        <f t="shared" ref="L29:L30" si="9">72339*1.27</f>
        <v>91870.53</v>
      </c>
      <c r="M29" s="31"/>
      <c r="N29" s="31">
        <v>1.22</v>
      </c>
      <c r="O29" s="31">
        <v>1.35</v>
      </c>
      <c r="P29" s="31">
        <v>1.3</v>
      </c>
      <c r="Q29" s="31">
        <v>1.0777000000000001</v>
      </c>
      <c r="R29" s="62">
        <f t="shared" si="8"/>
        <v>211987.89194453915</v>
      </c>
      <c r="S29" s="52">
        <f>R29*10</f>
        <v>2119878.9194453917</v>
      </c>
      <c r="T29" s="52">
        <f t="shared" si="1"/>
        <v>124735.4468635123</v>
      </c>
      <c r="U29" s="52">
        <f t="shared" si="7"/>
        <v>143603.77451872316</v>
      </c>
    </row>
    <row r="30" spans="1:21" ht="37.5" customHeight="1" x14ac:dyDescent="0.2">
      <c r="A30" s="24" t="s">
        <v>699</v>
      </c>
      <c r="B30" s="24" t="s">
        <v>641</v>
      </c>
      <c r="C30" s="59"/>
      <c r="D30" s="24"/>
      <c r="E30" s="24" t="s">
        <v>642</v>
      </c>
      <c r="F30" s="24" t="s">
        <v>643</v>
      </c>
      <c r="G30" s="24" t="s">
        <v>587</v>
      </c>
      <c r="H30" s="27">
        <v>9</v>
      </c>
      <c r="I30" s="60" t="s">
        <v>649</v>
      </c>
      <c r="J30" s="31">
        <v>2.2330000000000001</v>
      </c>
      <c r="K30" s="61">
        <f>1.166+2.233*7</f>
        <v>16.797000000000001</v>
      </c>
      <c r="L30" s="52">
        <f t="shared" si="9"/>
        <v>91870.53</v>
      </c>
      <c r="M30" s="31">
        <v>1.2889999999999999</v>
      </c>
      <c r="N30" s="31">
        <v>1.22</v>
      </c>
      <c r="O30" s="31">
        <v>1.35</v>
      </c>
      <c r="P30" s="31">
        <v>1.3</v>
      </c>
      <c r="Q30" s="31">
        <v>1.0777000000000001</v>
      </c>
      <c r="R30" s="62">
        <f t="shared" si="8"/>
        <v>273252.39271651098</v>
      </c>
      <c r="S30" s="52">
        <f>R30*8+R30/1.289</f>
        <v>2398007.0336766271</v>
      </c>
      <c r="T30" s="52">
        <f t="shared" si="1"/>
        <v>122370.08182557589</v>
      </c>
      <c r="U30" s="52">
        <f t="shared" si="7"/>
        <v>142764.00748208771</v>
      </c>
    </row>
    <row r="31" spans="1:21" ht="37.5" customHeight="1" x14ac:dyDescent="0.2">
      <c r="A31" s="24" t="s">
        <v>700</v>
      </c>
      <c r="B31" s="24" t="s">
        <v>670</v>
      </c>
      <c r="C31" s="59"/>
      <c r="D31" s="24" t="s">
        <v>701</v>
      </c>
      <c r="E31" s="24" t="s">
        <v>581</v>
      </c>
      <c r="F31" s="24" t="s">
        <v>643</v>
      </c>
      <c r="G31" s="24" t="s">
        <v>587</v>
      </c>
      <c r="H31" s="27">
        <v>19</v>
      </c>
      <c r="I31" s="60" t="s">
        <v>702</v>
      </c>
      <c r="J31" s="31">
        <v>1.1830000000000001</v>
      </c>
      <c r="K31" s="61">
        <f>1.416+(1.183*2+1.55)*6</f>
        <v>24.912000000000003</v>
      </c>
      <c r="L31" s="52">
        <v>87326</v>
      </c>
      <c r="M31" s="31"/>
      <c r="N31" s="31">
        <v>1.22</v>
      </c>
      <c r="O31" s="31">
        <v>1.35</v>
      </c>
      <c r="P31" s="31">
        <v>1.3</v>
      </c>
      <c r="Q31" s="31"/>
      <c r="R31" s="62">
        <f t="shared" si="8"/>
        <v>186973.69860000003</v>
      </c>
      <c r="S31" s="52">
        <f>R31*H31</f>
        <v>3552500.2734000008</v>
      </c>
      <c r="T31" s="52">
        <f t="shared" si="1"/>
        <v>158050.46373626374</v>
      </c>
      <c r="U31" s="52">
        <f t="shared" si="7"/>
        <v>142601.9698699422</v>
      </c>
    </row>
    <row r="32" spans="1:21" ht="37.5" customHeight="1" x14ac:dyDescent="0.2">
      <c r="A32" s="24" t="s">
        <v>703</v>
      </c>
      <c r="B32" s="24" t="s">
        <v>704</v>
      </c>
      <c r="C32" s="59"/>
      <c r="D32" s="24"/>
      <c r="E32" s="24" t="s">
        <v>642</v>
      </c>
      <c r="F32" s="24" t="s">
        <v>643</v>
      </c>
      <c r="G32" s="24" t="s">
        <v>587</v>
      </c>
      <c r="H32" s="27">
        <v>69</v>
      </c>
      <c r="I32" s="60" t="s">
        <v>705</v>
      </c>
      <c r="J32" s="31">
        <v>2.3170000000000002</v>
      </c>
      <c r="K32" s="61">
        <f>J32*14</f>
        <v>32.438000000000002</v>
      </c>
      <c r="L32" s="52">
        <f>62771+17715*2</f>
        <v>98201</v>
      </c>
      <c r="M32" s="31">
        <v>1.4179999999999999</v>
      </c>
      <c r="N32" s="31">
        <v>1.22</v>
      </c>
      <c r="O32" s="31">
        <v>1.35</v>
      </c>
      <c r="P32" s="31">
        <v>1.3</v>
      </c>
      <c r="Q32" s="31">
        <v>1.0777000000000001</v>
      </c>
      <c r="R32" s="62">
        <f t="shared" si="8"/>
        <v>321312.02226837253</v>
      </c>
      <c r="S32" s="52">
        <f>R32*14</f>
        <v>4498368.3117572153</v>
      </c>
      <c r="T32" s="52">
        <f t="shared" si="1"/>
        <v>138675.88358583191</v>
      </c>
      <c r="U32" s="52">
        <f t="shared" si="7"/>
        <v>138675.88358583191</v>
      </c>
    </row>
    <row r="33" spans="1:21" ht="37.5" customHeight="1" x14ac:dyDescent="0.2">
      <c r="A33" s="24" t="s">
        <v>706</v>
      </c>
      <c r="B33" s="24" t="s">
        <v>652</v>
      </c>
      <c r="C33" s="59"/>
      <c r="D33" s="24" t="s">
        <v>707</v>
      </c>
      <c r="E33" s="24" t="s">
        <v>642</v>
      </c>
      <c r="F33" s="24" t="s">
        <v>19</v>
      </c>
      <c r="G33" s="24" t="s">
        <v>654</v>
      </c>
      <c r="H33" s="27">
        <v>42</v>
      </c>
      <c r="I33" s="60" t="s">
        <v>708</v>
      </c>
      <c r="J33" s="31">
        <f>2.55/4</f>
        <v>0.63749999999999996</v>
      </c>
      <c r="K33" s="61">
        <f>J33*7+(0.9+J33*7)*4+(0.9+J33)</f>
        <v>27.45</v>
      </c>
      <c r="L33" s="52" t="s">
        <v>709</v>
      </c>
      <c r="M33" s="31" t="s">
        <v>710</v>
      </c>
      <c r="N33" s="31" t="s">
        <v>693</v>
      </c>
      <c r="O33" s="31">
        <v>1.35</v>
      </c>
      <c r="P33" s="31">
        <v>1.3</v>
      </c>
      <c r="Q33" s="31">
        <v>1.0777000000000001</v>
      </c>
      <c r="R33" s="62">
        <f>AVERAGE(31221*1.47*1.17*1.35*1.3*1.0777,27149*1.4*1.1*1.35*1.31*1.0777)</f>
        <v>90622.856114706839</v>
      </c>
      <c r="S33" s="52">
        <f>R33*H33</f>
        <v>3806159.9568176875</v>
      </c>
      <c r="T33" s="52">
        <f t="shared" si="1"/>
        <v>142153.49978777545</v>
      </c>
      <c r="U33" s="52">
        <f t="shared" si="7"/>
        <v>138657.92192414161</v>
      </c>
    </row>
    <row r="34" spans="1:21" ht="37.5" customHeight="1" x14ac:dyDescent="0.2">
      <c r="A34" s="24" t="s">
        <v>711</v>
      </c>
      <c r="B34" s="24" t="s">
        <v>673</v>
      </c>
      <c r="C34" s="59"/>
      <c r="D34" s="24"/>
      <c r="E34" s="24" t="s">
        <v>581</v>
      </c>
      <c r="F34" s="24" t="s">
        <v>643</v>
      </c>
      <c r="G34" s="24" t="s">
        <v>587</v>
      </c>
      <c r="H34" s="27" t="s">
        <v>647</v>
      </c>
      <c r="I34" s="60" t="s">
        <v>593</v>
      </c>
      <c r="J34" s="31">
        <v>0.45</v>
      </c>
      <c r="K34" s="61" t="s">
        <v>593</v>
      </c>
      <c r="L34" s="52">
        <f>13991*1.25*2</f>
        <v>34977.5</v>
      </c>
      <c r="M34" s="31"/>
      <c r="N34" s="31"/>
      <c r="O34" s="31">
        <v>1.35</v>
      </c>
      <c r="P34" s="31">
        <v>1.3</v>
      </c>
      <c r="Q34" s="31"/>
      <c r="R34" s="62">
        <f>PRODUCT(L34:Q34)</f>
        <v>61385.512500000004</v>
      </c>
      <c r="S34" s="52" t="s">
        <v>647</v>
      </c>
      <c r="T34" s="52">
        <f t="shared" si="1"/>
        <v>136412.25</v>
      </c>
      <c r="U34" s="52">
        <f t="shared" si="7"/>
        <v>136412.25</v>
      </c>
    </row>
    <row r="35" spans="1:21" ht="37.5" customHeight="1" x14ac:dyDescent="0.2">
      <c r="A35" s="24" t="s">
        <v>712</v>
      </c>
      <c r="B35" s="24" t="s">
        <v>704</v>
      </c>
      <c r="C35" s="59"/>
      <c r="D35" s="24"/>
      <c r="E35" s="24" t="s">
        <v>642</v>
      </c>
      <c r="F35" s="24" t="s">
        <v>643</v>
      </c>
      <c r="G35" s="24" t="s">
        <v>587</v>
      </c>
      <c r="H35" s="27">
        <v>80</v>
      </c>
      <c r="I35" s="60" t="s">
        <v>705</v>
      </c>
      <c r="J35" s="31">
        <v>0.8</v>
      </c>
      <c r="K35" s="61">
        <f>J35*36</f>
        <v>28.8</v>
      </c>
      <c r="L35" s="52" t="s">
        <v>713</v>
      </c>
      <c r="M35" s="31">
        <v>1.3</v>
      </c>
      <c r="N35" s="31">
        <v>1.22</v>
      </c>
      <c r="O35" s="31">
        <v>1.35</v>
      </c>
      <c r="P35" s="31">
        <v>1.3</v>
      </c>
      <c r="Q35" s="31">
        <v>1.0777000000000001</v>
      </c>
      <c r="R35" s="62" t="s">
        <v>714</v>
      </c>
      <c r="S35" s="52">
        <f>21148+63444*1.03+21148*1.06+63444*1.09+21148*1.12+63444*1.15+21148*1.18+63444*1.21+21148*1.24+63444*1.27+(21148+63444)*1.3*31+21148*1.3</f>
        <v>3919781.8000000003</v>
      </c>
      <c r="T35" s="52">
        <f>(9165+27495)*PRODUCT(M35:Q35)/J35</f>
        <v>137461.36756657501</v>
      </c>
      <c r="U35" s="52">
        <f t="shared" si="7"/>
        <v>136103.53472222222</v>
      </c>
    </row>
    <row r="36" spans="1:21" ht="37.5" customHeight="1" x14ac:dyDescent="0.2">
      <c r="A36" s="24" t="s">
        <v>715</v>
      </c>
      <c r="B36" s="24" t="s">
        <v>670</v>
      </c>
      <c r="C36" s="59"/>
      <c r="D36" s="24" t="s">
        <v>716</v>
      </c>
      <c r="E36" s="24" t="s">
        <v>581</v>
      </c>
      <c r="F36" s="24" t="s">
        <v>586</v>
      </c>
      <c r="G36" s="24" t="s">
        <v>654</v>
      </c>
      <c r="H36" s="27">
        <v>19</v>
      </c>
      <c r="I36" s="60" t="s">
        <v>717</v>
      </c>
      <c r="J36" s="31">
        <v>0.51600000000000001</v>
      </c>
      <c r="K36" s="61">
        <v>14.583</v>
      </c>
      <c r="L36" s="52" t="s">
        <v>718</v>
      </c>
      <c r="M36" s="31">
        <v>1.5</v>
      </c>
      <c r="N36" s="31">
        <v>1.22</v>
      </c>
      <c r="O36" s="31">
        <v>1.35</v>
      </c>
      <c r="P36" s="31">
        <v>1.3</v>
      </c>
      <c r="Q36" s="31"/>
      <c r="R36" s="62">
        <f>PRODUCT(32175,M36:Q36)</f>
        <v>103334.83875000001</v>
      </c>
      <c r="S36" s="52">
        <f>(34507+33050+32175*17)*PRODUCT(M36:P36)</f>
        <v>1973661.6978000004</v>
      </c>
      <c r="T36" s="52">
        <f t="shared" ref="T36:T82" si="10">R36/J36</f>
        <v>200261.31540697676</v>
      </c>
      <c r="U36" s="52">
        <f t="shared" si="7"/>
        <v>135339.89561818558</v>
      </c>
    </row>
    <row r="37" spans="1:21" ht="37.5" customHeight="1" x14ac:dyDescent="0.2">
      <c r="A37" s="24" t="s">
        <v>719</v>
      </c>
      <c r="B37" s="24" t="s">
        <v>670</v>
      </c>
      <c r="C37" s="59"/>
      <c r="D37" s="24" t="s">
        <v>720</v>
      </c>
      <c r="E37" s="24" t="s">
        <v>642</v>
      </c>
      <c r="F37" s="24" t="s">
        <v>643</v>
      </c>
      <c r="G37" s="24" t="s">
        <v>587</v>
      </c>
      <c r="H37" s="27">
        <v>19</v>
      </c>
      <c r="I37" s="60" t="s">
        <v>721</v>
      </c>
      <c r="J37" s="31">
        <v>0.51600000000000001</v>
      </c>
      <c r="K37" s="61">
        <f>J37*12+0.916+J37*4+0.916</f>
        <v>10.088000000000001</v>
      </c>
      <c r="L37" s="52">
        <v>28102</v>
      </c>
      <c r="M37" s="31">
        <v>1.1000000000000001</v>
      </c>
      <c r="N37" s="31">
        <v>1.22</v>
      </c>
      <c r="O37" s="31">
        <v>1.35</v>
      </c>
      <c r="P37" s="31">
        <v>1.3</v>
      </c>
      <c r="Q37" s="31">
        <v>1.0777000000000001</v>
      </c>
      <c r="R37" s="62">
        <f t="shared" ref="R37:R40" si="11">PRODUCT(L37:Q37)</f>
        <v>71328.772277334007</v>
      </c>
      <c r="S37" s="52">
        <f t="shared" ref="S37:S42" si="12">R37*H37</f>
        <v>1355246.6732693461</v>
      </c>
      <c r="T37" s="52">
        <f t="shared" si="10"/>
        <v>138234.05480103489</v>
      </c>
      <c r="U37" s="52">
        <f t="shared" si="7"/>
        <v>134342.45373407475</v>
      </c>
    </row>
    <row r="38" spans="1:21" ht="37.5" customHeight="1" x14ac:dyDescent="0.2">
      <c r="A38" s="24" t="s">
        <v>722</v>
      </c>
      <c r="B38" s="24" t="s">
        <v>641</v>
      </c>
      <c r="C38" s="59"/>
      <c r="D38" s="24"/>
      <c r="E38" s="24" t="s">
        <v>581</v>
      </c>
      <c r="F38" s="24" t="s">
        <v>643</v>
      </c>
      <c r="G38" s="24" t="s">
        <v>587</v>
      </c>
      <c r="H38" s="27">
        <v>10</v>
      </c>
      <c r="I38" s="60" t="s">
        <v>680</v>
      </c>
      <c r="J38" s="31">
        <v>1.2669999999999999</v>
      </c>
      <c r="K38" s="61">
        <f>J38*9</f>
        <v>11.402999999999999</v>
      </c>
      <c r="L38" s="52">
        <v>71544</v>
      </c>
      <c r="M38" s="31"/>
      <c r="N38" s="31">
        <v>1.22</v>
      </c>
      <c r="O38" s="31">
        <v>1.35</v>
      </c>
      <c r="P38" s="31">
        <v>1.3</v>
      </c>
      <c r="Q38" s="31"/>
      <c r="R38" s="62">
        <f t="shared" si="11"/>
        <v>153182.8584</v>
      </c>
      <c r="S38" s="52">
        <f t="shared" si="12"/>
        <v>1531828.584</v>
      </c>
      <c r="T38" s="52">
        <f t="shared" si="10"/>
        <v>120902.01925808999</v>
      </c>
      <c r="U38" s="52">
        <f t="shared" si="7"/>
        <v>134335.57695343334</v>
      </c>
    </row>
    <row r="39" spans="1:21" ht="37.5" customHeight="1" x14ac:dyDescent="0.2">
      <c r="A39" s="24" t="s">
        <v>723</v>
      </c>
      <c r="B39" s="24" t="s">
        <v>724</v>
      </c>
      <c r="C39" s="59"/>
      <c r="D39" s="24"/>
      <c r="E39" s="24" t="s">
        <v>581</v>
      </c>
      <c r="F39" s="24" t="s">
        <v>643</v>
      </c>
      <c r="G39" s="24" t="s">
        <v>587</v>
      </c>
      <c r="H39" s="27">
        <v>35</v>
      </c>
      <c r="I39" s="60" t="s">
        <v>725</v>
      </c>
      <c r="J39" s="31">
        <v>0.80049999999999999</v>
      </c>
      <c r="K39" s="61">
        <f>J39*34</f>
        <v>27.216999999999999</v>
      </c>
      <c r="L39" s="52">
        <v>47690</v>
      </c>
      <c r="M39" s="31"/>
      <c r="N39" s="31">
        <v>1.22</v>
      </c>
      <c r="O39" s="31">
        <v>1.35</v>
      </c>
      <c r="P39" s="31">
        <v>1.3</v>
      </c>
      <c r="Q39" s="31"/>
      <c r="R39" s="62">
        <f t="shared" si="11"/>
        <v>102109.05899999999</v>
      </c>
      <c r="S39" s="52">
        <f t="shared" si="12"/>
        <v>3573817.0649999999</v>
      </c>
      <c r="T39" s="52">
        <f t="shared" si="10"/>
        <v>127556.60087445346</v>
      </c>
      <c r="U39" s="52">
        <f t="shared" si="7"/>
        <v>131308.26560605504</v>
      </c>
    </row>
    <row r="40" spans="1:21" ht="37.5" customHeight="1" x14ac:dyDescent="0.2">
      <c r="A40" s="24" t="s">
        <v>726</v>
      </c>
      <c r="B40" s="24" t="s">
        <v>652</v>
      </c>
      <c r="C40" s="59"/>
      <c r="D40" s="24" t="s">
        <v>727</v>
      </c>
      <c r="E40" s="24" t="s">
        <v>642</v>
      </c>
      <c r="F40" s="24" t="s">
        <v>586</v>
      </c>
      <c r="G40" s="24" t="s">
        <v>654</v>
      </c>
      <c r="H40" s="27">
        <v>28</v>
      </c>
      <c r="I40" s="60" t="s">
        <v>728</v>
      </c>
      <c r="J40" s="31">
        <f>0.433*0.6</f>
        <v>0.25979999999999998</v>
      </c>
      <c r="K40" s="61">
        <f>J40*7+(0.816+J40*7)*2+(0.816+J40*3)</f>
        <v>8.6831999999999994</v>
      </c>
      <c r="L40" s="52">
        <v>17604</v>
      </c>
      <c r="M40" s="31"/>
      <c r="N40" s="31">
        <v>1.22</v>
      </c>
      <c r="O40" s="31">
        <v>1.35</v>
      </c>
      <c r="P40" s="31">
        <v>1.3</v>
      </c>
      <c r="Q40" s="31">
        <v>1.0777000000000001</v>
      </c>
      <c r="R40" s="62">
        <f t="shared" si="11"/>
        <v>40620.586925880008</v>
      </c>
      <c r="S40" s="52">
        <f t="shared" si="12"/>
        <v>1137376.4339246403</v>
      </c>
      <c r="T40" s="52">
        <f t="shared" si="10"/>
        <v>156353.29840600467</v>
      </c>
      <c r="U40" s="52">
        <f t="shared" si="7"/>
        <v>130985.86165522393</v>
      </c>
    </row>
    <row r="41" spans="1:21" ht="37.5" customHeight="1" x14ac:dyDescent="0.2">
      <c r="A41" s="24" t="s">
        <v>729</v>
      </c>
      <c r="B41" s="24" t="s">
        <v>652</v>
      </c>
      <c r="C41" s="59"/>
      <c r="D41" s="24" t="s">
        <v>730</v>
      </c>
      <c r="E41" s="24" t="s">
        <v>642</v>
      </c>
      <c r="F41" s="24" t="s">
        <v>19</v>
      </c>
      <c r="G41" s="24" t="s">
        <v>654</v>
      </c>
      <c r="H41" s="27">
        <v>38</v>
      </c>
      <c r="I41" s="60" t="s">
        <v>731</v>
      </c>
      <c r="J41" s="31">
        <f>1.9/4</f>
        <v>0.47499999999999998</v>
      </c>
      <c r="K41" s="61">
        <f>J41*11+(0.8+J41*11)*2+0.8+J41</f>
        <v>18.55</v>
      </c>
      <c r="L41" s="52" t="s">
        <v>732</v>
      </c>
      <c r="M41" s="31">
        <v>1.1499999999999999</v>
      </c>
      <c r="N41" s="31">
        <v>1.22</v>
      </c>
      <c r="O41" s="31">
        <v>1.35</v>
      </c>
      <c r="P41" s="31">
        <v>1.3</v>
      </c>
      <c r="Q41" s="31">
        <v>1.0777000000000001</v>
      </c>
      <c r="R41" s="62">
        <f>AVERAGE(25720*1.15*1.22*1.35*1.3*1.0777,22365*1.15*1.22*1.35*1.3*1.0777)</f>
        <v>63798.769049096256</v>
      </c>
      <c r="S41" s="52">
        <f t="shared" si="12"/>
        <v>2424353.2238656576</v>
      </c>
      <c r="T41" s="52">
        <f t="shared" si="10"/>
        <v>134313.1979980974</v>
      </c>
      <c r="U41" s="52">
        <f t="shared" si="7"/>
        <v>130692.89616526455</v>
      </c>
    </row>
    <row r="42" spans="1:21" ht="37.5" customHeight="1" x14ac:dyDescent="0.2">
      <c r="A42" s="24" t="s">
        <v>733</v>
      </c>
      <c r="B42" s="24" t="s">
        <v>652</v>
      </c>
      <c r="C42" s="59"/>
      <c r="D42" s="24" t="s">
        <v>727</v>
      </c>
      <c r="E42" s="24" t="s">
        <v>642</v>
      </c>
      <c r="F42" s="24" t="s">
        <v>586</v>
      </c>
      <c r="G42" s="24" t="s">
        <v>654</v>
      </c>
      <c r="H42" s="27">
        <v>28</v>
      </c>
      <c r="I42" s="60" t="s">
        <v>728</v>
      </c>
      <c r="J42" s="31">
        <v>0.433</v>
      </c>
      <c r="K42" s="61">
        <f>J42*7+(0.816+J42*7)*2+(0.816+J42*3)</f>
        <v>12.84</v>
      </c>
      <c r="L42" s="52">
        <v>17604</v>
      </c>
      <c r="M42" s="31">
        <v>1.47</v>
      </c>
      <c r="N42" s="31">
        <v>1.22</v>
      </c>
      <c r="O42" s="31">
        <v>1.35</v>
      </c>
      <c r="P42" s="31">
        <v>1.3</v>
      </c>
      <c r="Q42" s="31">
        <v>1.0777000000000001</v>
      </c>
      <c r="R42" s="62">
        <f t="shared" ref="R42:R45" si="13">PRODUCT(L42:Q42)</f>
        <v>59712.262781043624</v>
      </c>
      <c r="S42" s="52">
        <f t="shared" si="12"/>
        <v>1671943.3578692214</v>
      </c>
      <c r="T42" s="52">
        <f t="shared" si="10"/>
        <v>137903.60919409612</v>
      </c>
      <c r="U42" s="52">
        <f t="shared" si="7"/>
        <v>130213.65715492379</v>
      </c>
    </row>
    <row r="43" spans="1:21" ht="37.5" customHeight="1" x14ac:dyDescent="0.2">
      <c r="A43" s="24" t="s">
        <v>734</v>
      </c>
      <c r="B43" s="24" t="s">
        <v>724</v>
      </c>
      <c r="C43" s="59"/>
      <c r="D43" s="24" t="s">
        <v>730</v>
      </c>
      <c r="E43" s="24" t="s">
        <v>642</v>
      </c>
      <c r="F43" s="24" t="s">
        <v>583</v>
      </c>
      <c r="G43" s="24" t="s">
        <v>654</v>
      </c>
      <c r="H43" s="27">
        <v>37</v>
      </c>
      <c r="I43" s="60" t="s">
        <v>735</v>
      </c>
      <c r="J43" s="31">
        <v>0.433</v>
      </c>
      <c r="K43" s="61">
        <f>J43*21+0.8+J43*14</f>
        <v>15.955000000000002</v>
      </c>
      <c r="L43" s="52">
        <f>15783*1.15</f>
        <v>18150.449999999997</v>
      </c>
      <c r="M43" s="31">
        <v>1.35</v>
      </c>
      <c r="N43" s="31">
        <v>1.22</v>
      </c>
      <c r="O43" s="31">
        <v>1.35</v>
      </c>
      <c r="P43" s="31">
        <v>1.3</v>
      </c>
      <c r="Q43" s="31">
        <v>1.0777000000000001</v>
      </c>
      <c r="R43" s="62">
        <f t="shared" si="13"/>
        <v>56540.025457733034</v>
      </c>
      <c r="S43" s="52">
        <f>R43*35+R43/1.35*2</f>
        <v>2062663.8916987791</v>
      </c>
      <c r="T43" s="52">
        <f t="shared" si="10"/>
        <v>130577.42599938346</v>
      </c>
      <c r="U43" s="52">
        <f t="shared" si="7"/>
        <v>129280.0934941259</v>
      </c>
    </row>
    <row r="44" spans="1:21" ht="37.5" customHeight="1" x14ac:dyDescent="0.2">
      <c r="A44" s="24" t="s">
        <v>736</v>
      </c>
      <c r="B44" s="24" t="s">
        <v>704</v>
      </c>
      <c r="C44" s="59"/>
      <c r="D44" s="24"/>
      <c r="E44" s="24" t="s">
        <v>642</v>
      </c>
      <c r="F44" s="24" t="s">
        <v>643</v>
      </c>
      <c r="G44" s="24" t="s">
        <v>587</v>
      </c>
      <c r="H44" s="27">
        <v>69</v>
      </c>
      <c r="I44" s="60" t="s">
        <v>644</v>
      </c>
      <c r="J44" s="31">
        <v>0.46600000000000003</v>
      </c>
      <c r="K44" s="61">
        <f>J44*102</f>
        <v>47.532000000000004</v>
      </c>
      <c r="L44" s="52">
        <v>17715</v>
      </c>
      <c r="M44" s="31">
        <v>1.4179999999999999</v>
      </c>
      <c r="N44" s="31">
        <v>1.22</v>
      </c>
      <c r="O44" s="31">
        <v>1.35</v>
      </c>
      <c r="P44" s="31">
        <v>1.3</v>
      </c>
      <c r="Q44" s="31">
        <v>1.0777000000000001</v>
      </c>
      <c r="R44" s="62">
        <f t="shared" si="13"/>
        <v>57963.182396148906</v>
      </c>
      <c r="S44" s="52">
        <f>R44*103</f>
        <v>5970207.7868033377</v>
      </c>
      <c r="T44" s="52">
        <f t="shared" si="10"/>
        <v>124384.51157971867</v>
      </c>
      <c r="U44" s="52">
        <f t="shared" si="7"/>
        <v>125603.96757559828</v>
      </c>
    </row>
    <row r="45" spans="1:21" ht="37.5" customHeight="1" x14ac:dyDescent="0.2">
      <c r="A45" s="24" t="s">
        <v>737</v>
      </c>
      <c r="B45" s="24" t="s">
        <v>652</v>
      </c>
      <c r="C45" s="59"/>
      <c r="D45" s="24"/>
      <c r="E45" s="24" t="s">
        <v>642</v>
      </c>
      <c r="F45" s="24" t="s">
        <v>583</v>
      </c>
      <c r="G45" s="24" t="s">
        <v>654</v>
      </c>
      <c r="H45" s="27">
        <v>21</v>
      </c>
      <c r="I45" s="60" t="s">
        <v>738</v>
      </c>
      <c r="J45" s="31">
        <f>1.016*0.6</f>
        <v>0.60960000000000003</v>
      </c>
      <c r="K45" s="61">
        <f>J45*20</f>
        <v>12.192</v>
      </c>
      <c r="L45" s="52">
        <f>27149*1.15</f>
        <v>31221.35</v>
      </c>
      <c r="M45" s="31"/>
      <c r="N45" s="31">
        <v>1.22</v>
      </c>
      <c r="O45" s="31">
        <v>1.35</v>
      </c>
      <c r="P45" s="31">
        <v>1.3</v>
      </c>
      <c r="Q45" s="31">
        <v>1.0777000000000001</v>
      </c>
      <c r="R45" s="62">
        <f t="shared" si="13"/>
        <v>72042.124609084509</v>
      </c>
      <c r="S45" s="52">
        <f t="shared" ref="S45:S46" si="14">R45*H45</f>
        <v>1512884.6167907747</v>
      </c>
      <c r="T45" s="52">
        <f t="shared" si="10"/>
        <v>118179.33826949558</v>
      </c>
      <c r="U45" s="52">
        <f t="shared" si="7"/>
        <v>124088.30518297036</v>
      </c>
    </row>
    <row r="46" spans="1:21" ht="37.5" customHeight="1" x14ac:dyDescent="0.2">
      <c r="A46" s="24" t="s">
        <v>739</v>
      </c>
      <c r="B46" s="24" t="s">
        <v>652</v>
      </c>
      <c r="C46" s="59"/>
      <c r="D46" s="24" t="s">
        <v>658</v>
      </c>
      <c r="E46" s="24" t="s">
        <v>642</v>
      </c>
      <c r="F46" s="24" t="s">
        <v>19</v>
      </c>
      <c r="G46" s="24" t="s">
        <v>654</v>
      </c>
      <c r="H46" s="27">
        <v>42</v>
      </c>
      <c r="I46" s="60" t="s">
        <v>691</v>
      </c>
      <c r="J46" s="31">
        <f>2.216/4</f>
        <v>0.55400000000000005</v>
      </c>
      <c r="K46" s="61">
        <f>J46*11+(0.833+J46*11)*2+(0.833+0.554*5)</f>
        <v>23.551000000000002</v>
      </c>
      <c r="L46" s="52" t="s">
        <v>692</v>
      </c>
      <c r="M46" s="31">
        <v>1.1499999999999999</v>
      </c>
      <c r="N46" s="31" t="s">
        <v>693</v>
      </c>
      <c r="O46" s="31">
        <v>1.35</v>
      </c>
      <c r="P46" s="31">
        <v>1.3</v>
      </c>
      <c r="Q46" s="31">
        <v>1.0777000000000001</v>
      </c>
      <c r="R46" s="62">
        <f>AVERAGE(29805*1.15*1.17*1.35*1.3*1.0777,25917*1.15*1.1*1.35*1.3*1.0777)</f>
        <v>68928.503855956878</v>
      </c>
      <c r="S46" s="52">
        <f t="shared" si="14"/>
        <v>2894997.1619501887</v>
      </c>
      <c r="T46" s="52">
        <f t="shared" si="10"/>
        <v>124419.68205046367</v>
      </c>
      <c r="U46" s="52">
        <f t="shared" si="7"/>
        <v>122924.59606599246</v>
      </c>
    </row>
    <row r="47" spans="1:21" ht="37.5" customHeight="1" x14ac:dyDescent="0.2">
      <c r="A47" s="24" t="s">
        <v>740</v>
      </c>
      <c r="B47" s="24" t="s">
        <v>641</v>
      </c>
      <c r="C47" s="59"/>
      <c r="D47" s="24"/>
      <c r="E47" s="24" t="s">
        <v>581</v>
      </c>
      <c r="F47" s="24" t="s">
        <v>643</v>
      </c>
      <c r="G47" s="24" t="s">
        <v>587</v>
      </c>
      <c r="H47" s="27">
        <v>10</v>
      </c>
      <c r="I47" s="60" t="s">
        <v>644</v>
      </c>
      <c r="J47" s="31">
        <v>2.2160000000000002</v>
      </c>
      <c r="K47" s="61">
        <f>J47*9</f>
        <v>19.944000000000003</v>
      </c>
      <c r="L47" s="52">
        <v>112868</v>
      </c>
      <c r="M47" s="31"/>
      <c r="N47" s="31">
        <v>1.22</v>
      </c>
      <c r="O47" s="31">
        <v>1.35</v>
      </c>
      <c r="P47" s="31">
        <v>1.3</v>
      </c>
      <c r="Q47" s="31"/>
      <c r="R47" s="62">
        <f t="shared" ref="R47:R49" si="15">PRODUCT(L47:Q47)</f>
        <v>241661.67480000001</v>
      </c>
      <c r="S47" s="52">
        <f>R47*10</f>
        <v>2416616.7480000001</v>
      </c>
      <c r="T47" s="52">
        <f t="shared" si="10"/>
        <v>109053.10234657039</v>
      </c>
      <c r="U47" s="52">
        <f t="shared" si="7"/>
        <v>121170.11371841155</v>
      </c>
    </row>
    <row r="48" spans="1:21" ht="37.5" customHeight="1" x14ac:dyDescent="0.2">
      <c r="A48" s="24" t="s">
        <v>741</v>
      </c>
      <c r="B48" s="24" t="s">
        <v>673</v>
      </c>
      <c r="C48" s="59"/>
      <c r="D48" s="24"/>
      <c r="E48" s="24" t="s">
        <v>642</v>
      </c>
      <c r="F48" s="24" t="s">
        <v>586</v>
      </c>
      <c r="G48" s="24" t="s">
        <v>654</v>
      </c>
      <c r="H48" s="27" t="s">
        <v>647</v>
      </c>
      <c r="I48" s="60" t="s">
        <v>593</v>
      </c>
      <c r="J48" s="31">
        <v>0.45</v>
      </c>
      <c r="K48" s="61" t="s">
        <v>593</v>
      </c>
      <c r="L48" s="52">
        <f>9494*1.25*2</f>
        <v>23735</v>
      </c>
      <c r="M48" s="31">
        <v>1.3</v>
      </c>
      <c r="N48" s="31"/>
      <c r="O48" s="31">
        <v>1.35</v>
      </c>
      <c r="P48" s="31">
        <v>1.3</v>
      </c>
      <c r="Q48" s="31"/>
      <c r="R48" s="62">
        <f t="shared" si="15"/>
        <v>54151.402500000004</v>
      </c>
      <c r="S48" s="52" t="s">
        <v>647</v>
      </c>
      <c r="T48" s="52">
        <f t="shared" si="10"/>
        <v>120336.45000000001</v>
      </c>
      <c r="U48" s="52">
        <f t="shared" si="7"/>
        <v>120336.45000000001</v>
      </c>
    </row>
    <row r="49" spans="1:21" ht="37.5" customHeight="1" x14ac:dyDescent="0.2">
      <c r="A49" s="24" t="s">
        <v>742</v>
      </c>
      <c r="B49" s="24" t="s">
        <v>652</v>
      </c>
      <c r="C49" s="59"/>
      <c r="D49" s="24" t="s">
        <v>658</v>
      </c>
      <c r="E49" s="24" t="s">
        <v>642</v>
      </c>
      <c r="F49" s="24" t="s">
        <v>583</v>
      </c>
      <c r="G49" s="24" t="s">
        <v>654</v>
      </c>
      <c r="H49" s="27">
        <v>39</v>
      </c>
      <c r="I49" s="60" t="s">
        <v>743</v>
      </c>
      <c r="J49" s="31">
        <v>0.83299999999999996</v>
      </c>
      <c r="K49" s="61">
        <f>J49*38</f>
        <v>31.654</v>
      </c>
      <c r="L49" s="52">
        <f>25917*1.15</f>
        <v>29804.55</v>
      </c>
      <c r="M49" s="31">
        <v>1.4</v>
      </c>
      <c r="N49" s="31">
        <v>1.22</v>
      </c>
      <c r="O49" s="31">
        <v>1.35</v>
      </c>
      <c r="P49" s="31">
        <v>1.3</v>
      </c>
      <c r="Q49" s="31">
        <v>1.0777000000000001</v>
      </c>
      <c r="R49" s="62">
        <f t="shared" si="15"/>
        <v>96282.074510703897</v>
      </c>
      <c r="S49" s="52">
        <f>R49*H49</f>
        <v>3755000.9059174522</v>
      </c>
      <c r="T49" s="52">
        <f t="shared" si="10"/>
        <v>115584.72330216554</v>
      </c>
      <c r="U49" s="52">
        <f t="shared" si="7"/>
        <v>118626.42654695938</v>
      </c>
    </row>
    <row r="50" spans="1:21" ht="37.5" customHeight="1" x14ac:dyDescent="0.2">
      <c r="A50" s="24" t="s">
        <v>744</v>
      </c>
      <c r="B50" s="24" t="s">
        <v>670</v>
      </c>
      <c r="C50" s="59"/>
      <c r="D50" s="24" t="s">
        <v>745</v>
      </c>
      <c r="E50" s="24" t="s">
        <v>581</v>
      </c>
      <c r="F50" s="24" t="s">
        <v>586</v>
      </c>
      <c r="G50" s="24" t="s">
        <v>654</v>
      </c>
      <c r="H50" s="27">
        <v>19</v>
      </c>
      <c r="I50" s="60" t="s">
        <v>717</v>
      </c>
      <c r="J50" s="31">
        <v>0.51600000000000001</v>
      </c>
      <c r="K50" s="61">
        <f>1+(2.216+1.216+0.866+0.516+0.516+0.516+0.516+0.516)+(1.566+0.516*7)+(1.566+0.516*4)</f>
        <v>16.686</v>
      </c>
      <c r="L50" s="52" t="s">
        <v>718</v>
      </c>
      <c r="M50" s="31">
        <v>1.5</v>
      </c>
      <c r="N50" s="31">
        <v>1.22</v>
      </c>
      <c r="O50" s="31">
        <v>1.35</v>
      </c>
      <c r="P50" s="31">
        <v>1.3</v>
      </c>
      <c r="Q50" s="31"/>
      <c r="R50" s="62">
        <f>PRODUCT(32175,M50:Q50)</f>
        <v>103334.83875000001</v>
      </c>
      <c r="S50" s="52">
        <f>(34507+33050+32175*17)*PRODUCT(M50:P50)</f>
        <v>1973661.6978000004</v>
      </c>
      <c r="T50" s="52">
        <f t="shared" si="10"/>
        <v>200261.31540697676</v>
      </c>
      <c r="U50" s="52">
        <f t="shared" si="7"/>
        <v>118282.4941747573</v>
      </c>
    </row>
    <row r="51" spans="1:21" ht="37.5" customHeight="1" x14ac:dyDescent="0.2">
      <c r="A51" s="24" t="s">
        <v>746</v>
      </c>
      <c r="B51" s="24" t="s">
        <v>652</v>
      </c>
      <c r="C51" s="59"/>
      <c r="D51" s="24" t="s">
        <v>658</v>
      </c>
      <c r="E51" s="24" t="s">
        <v>642</v>
      </c>
      <c r="F51" s="24" t="s">
        <v>586</v>
      </c>
      <c r="G51" s="24" t="s">
        <v>654</v>
      </c>
      <c r="H51" s="27">
        <v>21</v>
      </c>
      <c r="I51" s="60" t="s">
        <v>747</v>
      </c>
      <c r="J51" s="31">
        <f>0.833*0.6</f>
        <v>0.49979999999999997</v>
      </c>
      <c r="K51" s="61">
        <f>0.5*18+0.833*2</f>
        <v>10.666</v>
      </c>
      <c r="L51" s="52">
        <v>25917</v>
      </c>
      <c r="M51" s="31"/>
      <c r="N51" s="31">
        <v>1.22</v>
      </c>
      <c r="O51" s="31">
        <v>1.35</v>
      </c>
      <c r="P51" s="31">
        <v>1.3</v>
      </c>
      <c r="Q51" s="31">
        <v>1.0777000000000001</v>
      </c>
      <c r="R51" s="62">
        <f t="shared" ref="R51:R53" si="16">PRODUCT(L51:Q51)</f>
        <v>59802.530751990009</v>
      </c>
      <c r="S51" s="52">
        <f t="shared" ref="S51:S53" si="17">R51*H51</f>
        <v>1255853.1457917902</v>
      </c>
      <c r="T51" s="52">
        <f t="shared" si="10"/>
        <v>119652.92267304925</v>
      </c>
      <c r="U51" s="52">
        <f t="shared" si="7"/>
        <v>117743.59139244235</v>
      </c>
    </row>
    <row r="52" spans="1:21" ht="37.5" customHeight="1" x14ac:dyDescent="0.2">
      <c r="A52" s="24" t="s">
        <v>748</v>
      </c>
      <c r="B52" s="24" t="s">
        <v>749</v>
      </c>
      <c r="C52" s="59"/>
      <c r="D52" s="24" t="s">
        <v>750</v>
      </c>
      <c r="E52" s="24" t="s">
        <v>642</v>
      </c>
      <c r="F52" s="24" t="s">
        <v>643</v>
      </c>
      <c r="G52" s="24" t="s">
        <v>587</v>
      </c>
      <c r="H52" s="27">
        <v>23</v>
      </c>
      <c r="I52" s="60" t="s">
        <v>751</v>
      </c>
      <c r="J52" s="31">
        <v>1.4159999999999999</v>
      </c>
      <c r="K52" s="61">
        <f>0.5+1.416*12+1.766+1.416*9</f>
        <v>32.001999999999995</v>
      </c>
      <c r="L52" s="52">
        <f>16009*3</f>
        <v>48027</v>
      </c>
      <c r="M52" s="31">
        <v>1.47</v>
      </c>
      <c r="N52" s="31">
        <v>1.22</v>
      </c>
      <c r="O52" s="31">
        <v>1.35</v>
      </c>
      <c r="P52" s="31">
        <v>1.3</v>
      </c>
      <c r="Q52" s="31">
        <v>1.0777000000000001</v>
      </c>
      <c r="R52" s="62">
        <f t="shared" si="16"/>
        <v>162906.20566832434</v>
      </c>
      <c r="S52" s="52">
        <f t="shared" si="17"/>
        <v>3746842.7303714599</v>
      </c>
      <c r="T52" s="52">
        <f t="shared" si="10"/>
        <v>115046.75541548331</v>
      </c>
      <c r="U52" s="52">
        <f t="shared" si="7"/>
        <v>117081.51772925006</v>
      </c>
    </row>
    <row r="53" spans="1:21" ht="37.5" customHeight="1" x14ac:dyDescent="0.2">
      <c r="A53" s="24" t="s">
        <v>752</v>
      </c>
      <c r="B53" s="24" t="s">
        <v>670</v>
      </c>
      <c r="C53" s="59"/>
      <c r="D53" s="24"/>
      <c r="E53" s="24" t="s">
        <v>581</v>
      </c>
      <c r="F53" s="24" t="s">
        <v>643</v>
      </c>
      <c r="G53" s="24" t="s">
        <v>587</v>
      </c>
      <c r="H53" s="27">
        <v>34</v>
      </c>
      <c r="I53" s="60" t="s">
        <v>753</v>
      </c>
      <c r="J53" s="31">
        <v>0.5</v>
      </c>
      <c r="K53" s="61">
        <f>J53*33</f>
        <v>16.5</v>
      </c>
      <c r="L53" s="52">
        <v>26199</v>
      </c>
      <c r="M53" s="31"/>
      <c r="N53" s="31">
        <v>1.22</v>
      </c>
      <c r="O53" s="31">
        <v>1.35</v>
      </c>
      <c r="P53" s="31">
        <v>1.3</v>
      </c>
      <c r="Q53" s="31"/>
      <c r="R53" s="62">
        <f t="shared" si="16"/>
        <v>56094.678900000006</v>
      </c>
      <c r="S53" s="52">
        <f t="shared" si="17"/>
        <v>1907219.0826000003</v>
      </c>
      <c r="T53" s="52">
        <f t="shared" si="10"/>
        <v>112189.35780000001</v>
      </c>
      <c r="U53" s="52">
        <f t="shared" si="7"/>
        <v>115589.03530909093</v>
      </c>
    </row>
    <row r="54" spans="1:21" ht="37.5" customHeight="1" x14ac:dyDescent="0.2">
      <c r="A54" s="24" t="s">
        <v>754</v>
      </c>
      <c r="B54" s="24" t="s">
        <v>670</v>
      </c>
      <c r="C54" s="59"/>
      <c r="D54" s="24" t="s">
        <v>755</v>
      </c>
      <c r="E54" s="24" t="s">
        <v>642</v>
      </c>
      <c r="F54" s="24" t="s">
        <v>643</v>
      </c>
      <c r="G54" s="24" t="s">
        <v>587</v>
      </c>
      <c r="H54" s="27">
        <v>1234</v>
      </c>
      <c r="I54" s="60" t="s">
        <v>705</v>
      </c>
      <c r="J54" s="31">
        <v>12.683</v>
      </c>
      <c r="K54" s="61">
        <v>80.849999999999994</v>
      </c>
      <c r="L54" s="52" t="s">
        <v>756</v>
      </c>
      <c r="M54" s="31"/>
      <c r="N54" s="31">
        <v>1.22</v>
      </c>
      <c r="O54" s="31">
        <v>1.35</v>
      </c>
      <c r="P54" s="31">
        <v>1.3</v>
      </c>
      <c r="Q54" s="31">
        <v>1.0777000000000001</v>
      </c>
      <c r="R54" s="62">
        <f>648866*PRODUCT(N54:Q54)</f>
        <v>1497234.5919250203</v>
      </c>
      <c r="S54" s="52">
        <f>PRODUCT(562073,N54:Q54)+R54*5+R54*36/97</f>
        <v>9338810.5685087293</v>
      </c>
      <c r="T54" s="52">
        <f t="shared" si="10"/>
        <v>118050.50791808093</v>
      </c>
      <c r="U54" s="52">
        <f t="shared" si="7"/>
        <v>115507.86108235906</v>
      </c>
    </row>
    <row r="55" spans="1:21" ht="37.5" customHeight="1" x14ac:dyDescent="0.2">
      <c r="A55" s="24" t="s">
        <v>757</v>
      </c>
      <c r="B55" s="24" t="s">
        <v>724</v>
      </c>
      <c r="C55" s="59"/>
      <c r="D55" s="24" t="s">
        <v>730</v>
      </c>
      <c r="E55" s="24" t="s">
        <v>581</v>
      </c>
      <c r="F55" s="24" t="s">
        <v>586</v>
      </c>
      <c r="G55" s="24" t="s">
        <v>654</v>
      </c>
      <c r="H55" s="27">
        <v>55</v>
      </c>
      <c r="I55" s="60" t="s">
        <v>705</v>
      </c>
      <c r="J55" s="31">
        <v>1.3</v>
      </c>
      <c r="K55" s="61">
        <f>J55/3*49+0.8*5</f>
        <v>25.233333333333334</v>
      </c>
      <c r="L55" s="52">
        <f>24529*3</f>
        <v>73587</v>
      </c>
      <c r="M55" s="31"/>
      <c r="N55" s="31">
        <v>1.22</v>
      </c>
      <c r="O55" s="31">
        <v>1.35</v>
      </c>
      <c r="P55" s="31">
        <v>1.3</v>
      </c>
      <c r="Q55" s="31"/>
      <c r="R55" s="62">
        <f t="shared" ref="R55:R56" si="18">PRODUCT(L55:Q55)</f>
        <v>157557.1257</v>
      </c>
      <c r="S55" s="52">
        <f>R55*18+13686</f>
        <v>2849714.2626</v>
      </c>
      <c r="T55" s="52">
        <f t="shared" si="10"/>
        <v>121197.789</v>
      </c>
      <c r="U55" s="52">
        <f t="shared" si="7"/>
        <v>112934.51503038309</v>
      </c>
    </row>
    <row r="56" spans="1:21" ht="37.5" customHeight="1" x14ac:dyDescent="0.2">
      <c r="A56" s="24" t="s">
        <v>758</v>
      </c>
      <c r="B56" s="24" t="s">
        <v>724</v>
      </c>
      <c r="C56" s="59"/>
      <c r="D56" s="24" t="s">
        <v>727</v>
      </c>
      <c r="E56" s="24" t="s">
        <v>642</v>
      </c>
      <c r="F56" s="24" t="s">
        <v>583</v>
      </c>
      <c r="G56" s="24" t="s">
        <v>654</v>
      </c>
      <c r="H56" s="27">
        <v>24</v>
      </c>
      <c r="I56" s="60" t="s">
        <v>759</v>
      </c>
      <c r="J56" s="31">
        <f>0.833*0.6</f>
        <v>0.49979999999999997</v>
      </c>
      <c r="K56" s="61">
        <f>J56*9+(0.816+J56*3)*3+(0.816+J56)</f>
        <v>12.760199999999998</v>
      </c>
      <c r="L56" s="52">
        <v>25495</v>
      </c>
      <c r="M56" s="31"/>
      <c r="N56" s="31">
        <v>1.22</v>
      </c>
      <c r="O56" s="31">
        <v>1.35</v>
      </c>
      <c r="P56" s="31">
        <v>1.3</v>
      </c>
      <c r="Q56" s="31">
        <v>1.0777000000000001</v>
      </c>
      <c r="R56" s="62">
        <f t="shared" si="18"/>
        <v>58828.781167650006</v>
      </c>
      <c r="S56" s="52">
        <f t="shared" ref="S56:S59" si="19">R56*H56</f>
        <v>1411890.7480236001</v>
      </c>
      <c r="T56" s="52">
        <f t="shared" si="10"/>
        <v>117704.64419297721</v>
      </c>
      <c r="U56" s="52">
        <f t="shared" si="7"/>
        <v>110648.01084807451</v>
      </c>
    </row>
    <row r="57" spans="1:21" ht="37.5" customHeight="1" x14ac:dyDescent="0.2">
      <c r="A57" s="24" t="s">
        <v>760</v>
      </c>
      <c r="B57" s="24" t="s">
        <v>652</v>
      </c>
      <c r="C57" s="27"/>
      <c r="D57" s="24" t="s">
        <v>707</v>
      </c>
      <c r="E57" s="24" t="s">
        <v>642</v>
      </c>
      <c r="F57" s="24" t="s">
        <v>19</v>
      </c>
      <c r="G57" s="24" t="s">
        <v>654</v>
      </c>
      <c r="H57" s="27">
        <v>42</v>
      </c>
      <c r="I57" s="60" t="s">
        <v>708</v>
      </c>
      <c r="J57" s="31">
        <f>2.55/4</f>
        <v>0.63749999999999996</v>
      </c>
      <c r="K57" s="61">
        <f>J57*7+(0.9+J57*7)*4+(0.9+J57)</f>
        <v>27.45</v>
      </c>
      <c r="L57" s="52" t="s">
        <v>709</v>
      </c>
      <c r="M57" s="31">
        <v>1.1499999999999999</v>
      </c>
      <c r="N57" s="31" t="s">
        <v>693</v>
      </c>
      <c r="O57" s="31">
        <v>1.35</v>
      </c>
      <c r="P57" s="31">
        <v>1.3</v>
      </c>
      <c r="Q57" s="31">
        <v>1.0777000000000001</v>
      </c>
      <c r="R57" s="62">
        <f>AVERAGE(31221*1.15*1.17*1.35*1.3*1.0777,27149*1.15*1.1*1.35*1.3*1.0777)</f>
        <v>72204.069298885879</v>
      </c>
      <c r="S57" s="52">
        <f t="shared" si="19"/>
        <v>3032570.9105532067</v>
      </c>
      <c r="T57" s="52">
        <f t="shared" si="10"/>
        <v>113261.28517472296</v>
      </c>
      <c r="U57" s="52">
        <f t="shared" si="7"/>
        <v>110476.1716048527</v>
      </c>
    </row>
    <row r="58" spans="1:21" ht="37.5" customHeight="1" x14ac:dyDescent="0.2">
      <c r="A58" s="24" t="s">
        <v>761</v>
      </c>
      <c r="B58" s="24" t="s">
        <v>641</v>
      </c>
      <c r="C58" s="27"/>
      <c r="D58" s="24" t="s">
        <v>762</v>
      </c>
      <c r="E58" s="24" t="s">
        <v>581</v>
      </c>
      <c r="F58" s="24" t="s">
        <v>643</v>
      </c>
      <c r="G58" s="24" t="s">
        <v>587</v>
      </c>
      <c r="H58" s="27">
        <v>8</v>
      </c>
      <c r="I58" s="60" t="s">
        <v>644</v>
      </c>
      <c r="J58" s="31">
        <v>0.95</v>
      </c>
      <c r="K58" s="61">
        <f>J58+ 1.767*7</f>
        <v>13.318999999999999</v>
      </c>
      <c r="L58" s="52">
        <v>85808</v>
      </c>
      <c r="M58" s="31"/>
      <c r="N58" s="31">
        <v>1.22</v>
      </c>
      <c r="O58" s="31">
        <v>1.35</v>
      </c>
      <c r="P58" s="31">
        <v>1.3</v>
      </c>
      <c r="Q58" s="31"/>
      <c r="R58" s="62">
        <f t="shared" ref="R58:R67" si="20">PRODUCT(L58:Q58)</f>
        <v>183723.50880000001</v>
      </c>
      <c r="S58" s="52">
        <f t="shared" si="19"/>
        <v>1469788.0704000001</v>
      </c>
      <c r="T58" s="52">
        <f t="shared" si="10"/>
        <v>193393.16715789476</v>
      </c>
      <c r="U58" s="52">
        <f t="shared" si="7"/>
        <v>110352.73446955478</v>
      </c>
    </row>
    <row r="59" spans="1:21" ht="37.5" customHeight="1" x14ac:dyDescent="0.2">
      <c r="A59" s="24" t="s">
        <v>763</v>
      </c>
      <c r="B59" s="24" t="s">
        <v>704</v>
      </c>
      <c r="C59" s="59"/>
      <c r="D59" s="24"/>
      <c r="E59" s="24" t="s">
        <v>642</v>
      </c>
      <c r="F59" s="24" t="s">
        <v>643</v>
      </c>
      <c r="G59" s="24" t="s">
        <v>587</v>
      </c>
      <c r="H59" s="27">
        <v>57</v>
      </c>
      <c r="I59" s="60" t="s">
        <v>644</v>
      </c>
      <c r="J59" s="31">
        <v>0.66600000000000004</v>
      </c>
      <c r="K59" s="61">
        <f>J59*56</f>
        <v>37.295999999999999</v>
      </c>
      <c r="L59" s="52">
        <v>21996</v>
      </c>
      <c r="M59" s="31">
        <v>1.4175</v>
      </c>
      <c r="N59" s="31">
        <v>1.22</v>
      </c>
      <c r="O59" s="31">
        <v>1.35</v>
      </c>
      <c r="P59" s="31">
        <v>1.3</v>
      </c>
      <c r="Q59" s="31">
        <v>1.0777000000000001</v>
      </c>
      <c r="R59" s="62">
        <f t="shared" si="20"/>
        <v>71945.164994075123</v>
      </c>
      <c r="S59" s="52">
        <f t="shared" si="19"/>
        <v>4100874.4046622822</v>
      </c>
      <c r="T59" s="52">
        <f t="shared" si="10"/>
        <v>108025.77326437706</v>
      </c>
      <c r="U59" s="52">
        <f t="shared" si="7"/>
        <v>109954.80492981238</v>
      </c>
    </row>
    <row r="60" spans="1:21" ht="37.5" customHeight="1" x14ac:dyDescent="0.2">
      <c r="A60" s="24" t="s">
        <v>764</v>
      </c>
      <c r="B60" s="24" t="s">
        <v>704</v>
      </c>
      <c r="C60" s="59"/>
      <c r="D60" s="24" t="s">
        <v>765</v>
      </c>
      <c r="E60" s="24" t="s">
        <v>581</v>
      </c>
      <c r="F60" s="24" t="s">
        <v>643</v>
      </c>
      <c r="G60" s="24" t="s">
        <v>587</v>
      </c>
      <c r="H60" s="27">
        <v>65</v>
      </c>
      <c r="I60" s="60" t="s">
        <v>766</v>
      </c>
      <c r="J60" s="31">
        <v>4.05</v>
      </c>
      <c r="K60" s="61">
        <f>J60*8+3.116+1.95</f>
        <v>37.466000000000001</v>
      </c>
      <c r="L60" s="52">
        <f>24034+29374+29374+87896+16022+16022</f>
        <v>202722</v>
      </c>
      <c r="M60" s="31"/>
      <c r="N60" s="31">
        <v>1.22</v>
      </c>
      <c r="O60" s="31">
        <v>1.35</v>
      </c>
      <c r="P60" s="31">
        <v>1.3</v>
      </c>
      <c r="Q60" s="31"/>
      <c r="R60" s="62">
        <f t="shared" si="20"/>
        <v>434048.07420000003</v>
      </c>
      <c r="S60" s="52">
        <f>R60*8+(157547+141525)*PRODUCT(N60:P60)</f>
        <v>4112727.6528000003</v>
      </c>
      <c r="T60" s="52">
        <f t="shared" si="10"/>
        <v>107172.36400000002</v>
      </c>
      <c r="U60" s="52">
        <f t="shared" si="7"/>
        <v>109772.26426092991</v>
      </c>
    </row>
    <row r="61" spans="1:21" ht="37.5" customHeight="1" x14ac:dyDescent="0.2">
      <c r="A61" s="24" t="s">
        <v>767</v>
      </c>
      <c r="B61" s="24" t="s">
        <v>704</v>
      </c>
      <c r="C61" s="59"/>
      <c r="D61" s="24" t="s">
        <v>768</v>
      </c>
      <c r="E61" s="24" t="s">
        <v>642</v>
      </c>
      <c r="F61" s="24" t="s">
        <v>643</v>
      </c>
      <c r="G61" s="24" t="s">
        <v>587</v>
      </c>
      <c r="H61" s="27">
        <v>57</v>
      </c>
      <c r="I61" s="60" t="s">
        <v>769</v>
      </c>
      <c r="J61" s="31">
        <v>3.266</v>
      </c>
      <c r="K61" s="61">
        <f>3.1+J61*10+0.966</f>
        <v>36.725999999999999</v>
      </c>
      <c r="L61" s="52">
        <f>21996*2+65986</f>
        <v>109978</v>
      </c>
      <c r="M61" s="31">
        <v>1.4175</v>
      </c>
      <c r="N61" s="31">
        <v>1.22</v>
      </c>
      <c r="O61" s="31">
        <v>1.35</v>
      </c>
      <c r="P61" s="31">
        <v>1.3</v>
      </c>
      <c r="Q61" s="31">
        <v>1.0777000000000001</v>
      </c>
      <c r="R61" s="62">
        <f t="shared" si="20"/>
        <v>359719.28331143816</v>
      </c>
      <c r="S61" s="52">
        <f>R61*11+65986</f>
        <v>4022898.1164258197</v>
      </c>
      <c r="T61" s="52">
        <f t="shared" si="10"/>
        <v>110140.6256311813</v>
      </c>
      <c r="U61" s="52">
        <f t="shared" si="7"/>
        <v>109538.15053166203</v>
      </c>
    </row>
    <row r="62" spans="1:21" ht="37.5" customHeight="1" x14ac:dyDescent="0.2">
      <c r="A62" s="24" t="s">
        <v>770</v>
      </c>
      <c r="B62" s="24" t="s">
        <v>724</v>
      </c>
      <c r="C62" s="59"/>
      <c r="D62" s="24"/>
      <c r="E62" s="24" t="s">
        <v>581</v>
      </c>
      <c r="F62" s="24" t="s">
        <v>583</v>
      </c>
      <c r="G62" s="24" t="s">
        <v>654</v>
      </c>
      <c r="H62" s="27">
        <v>24</v>
      </c>
      <c r="I62" s="60" t="s">
        <v>771</v>
      </c>
      <c r="J62" s="31">
        <v>3.2</v>
      </c>
      <c r="K62" s="61">
        <f>J62*5</f>
        <v>16</v>
      </c>
      <c r="L62" s="52">
        <v>136409</v>
      </c>
      <c r="M62" s="31"/>
      <c r="N62" s="31">
        <v>1.22</v>
      </c>
      <c r="O62" s="31">
        <v>1.35</v>
      </c>
      <c r="P62" s="31">
        <v>1.3</v>
      </c>
      <c r="Q62" s="31"/>
      <c r="R62" s="62">
        <f t="shared" si="20"/>
        <v>292065.30990000005</v>
      </c>
      <c r="S62" s="52">
        <f>R62*6</f>
        <v>1752391.8594000004</v>
      </c>
      <c r="T62" s="52">
        <f t="shared" si="10"/>
        <v>91270.409343750012</v>
      </c>
      <c r="U62" s="52">
        <f t="shared" si="7"/>
        <v>109524.49121250003</v>
      </c>
    </row>
    <row r="63" spans="1:21" ht="37.5" customHeight="1" x14ac:dyDescent="0.2">
      <c r="A63" s="24" t="s">
        <v>772</v>
      </c>
      <c r="B63" s="24" t="s">
        <v>652</v>
      </c>
      <c r="C63" s="59"/>
      <c r="D63" s="24"/>
      <c r="E63" s="24" t="s">
        <v>642</v>
      </c>
      <c r="F63" s="24" t="s">
        <v>583</v>
      </c>
      <c r="G63" s="24" t="s">
        <v>654</v>
      </c>
      <c r="H63" s="27">
        <v>21</v>
      </c>
      <c r="I63" s="60" t="s">
        <v>738</v>
      </c>
      <c r="J63" s="31">
        <v>1.016</v>
      </c>
      <c r="K63" s="61">
        <f>J63*20</f>
        <v>20.32</v>
      </c>
      <c r="L63" s="52">
        <f>27149*1.15</f>
        <v>31221.35</v>
      </c>
      <c r="M63" s="31">
        <v>1.47</v>
      </c>
      <c r="N63" s="31">
        <v>1.22</v>
      </c>
      <c r="O63" s="31">
        <v>1.35</v>
      </c>
      <c r="P63" s="31">
        <v>1.3</v>
      </c>
      <c r="Q63" s="31">
        <v>1.0777000000000001</v>
      </c>
      <c r="R63" s="62">
        <f t="shared" si="20"/>
        <v>105901.92317535423</v>
      </c>
      <c r="S63" s="52">
        <f>R63*H63</f>
        <v>2223940.3866824387</v>
      </c>
      <c r="T63" s="52">
        <f t="shared" si="10"/>
        <v>104234.1763536951</v>
      </c>
      <c r="U63" s="52">
        <f t="shared" si="7"/>
        <v>109445.88517137985</v>
      </c>
    </row>
    <row r="64" spans="1:21" ht="37.5" customHeight="1" x14ac:dyDescent="0.2">
      <c r="A64" s="24" t="s">
        <v>773</v>
      </c>
      <c r="B64" s="24" t="s">
        <v>704</v>
      </c>
      <c r="C64" s="59"/>
      <c r="D64" s="24"/>
      <c r="E64" s="24" t="s">
        <v>642</v>
      </c>
      <c r="F64" s="24" t="s">
        <v>643</v>
      </c>
      <c r="G64" s="24" t="s">
        <v>587</v>
      </c>
      <c r="H64" s="27">
        <v>70</v>
      </c>
      <c r="I64" s="60" t="s">
        <v>705</v>
      </c>
      <c r="J64" s="31">
        <v>2.6160000000000001</v>
      </c>
      <c r="K64" s="61">
        <f>J64*10</f>
        <v>26.16</v>
      </c>
      <c r="L64" s="52">
        <f>54990+14664*2</f>
        <v>84318</v>
      </c>
      <c r="M64" s="31">
        <v>1.47</v>
      </c>
      <c r="N64" s="31">
        <v>1.22</v>
      </c>
      <c r="O64" s="31">
        <v>1.35</v>
      </c>
      <c r="P64" s="31">
        <v>1.3</v>
      </c>
      <c r="Q64" s="31">
        <v>1.0777000000000001</v>
      </c>
      <c r="R64" s="62">
        <f t="shared" si="20"/>
        <v>286004.23614928621</v>
      </c>
      <c r="S64" s="52">
        <f>R64*10</f>
        <v>2860042.361492862</v>
      </c>
      <c r="T64" s="52">
        <f t="shared" si="10"/>
        <v>109328.83644850391</v>
      </c>
      <c r="U64" s="52">
        <f t="shared" si="7"/>
        <v>109328.83644850389</v>
      </c>
    </row>
    <row r="65" spans="1:21" ht="37.5" customHeight="1" x14ac:dyDescent="0.2">
      <c r="A65" s="24" t="s">
        <v>774</v>
      </c>
      <c r="B65" s="24" t="s">
        <v>749</v>
      </c>
      <c r="C65" s="59"/>
      <c r="D65" s="24" t="s">
        <v>775</v>
      </c>
      <c r="E65" s="24" t="s">
        <v>581</v>
      </c>
      <c r="F65" s="24" t="s">
        <v>643</v>
      </c>
      <c r="G65" s="24" t="s">
        <v>587</v>
      </c>
      <c r="H65" s="27">
        <v>16</v>
      </c>
      <c r="I65" s="60" t="s">
        <v>776</v>
      </c>
      <c r="J65" s="31">
        <v>1.3</v>
      </c>
      <c r="K65" s="61">
        <f>0.75+J65*3+(1.867+J65*3)*3</f>
        <v>21.951000000000001</v>
      </c>
      <c r="L65" s="52">
        <v>69648</v>
      </c>
      <c r="M65" s="31"/>
      <c r="N65" s="31">
        <v>1.22</v>
      </c>
      <c r="O65" s="31">
        <v>1.35</v>
      </c>
      <c r="P65" s="31">
        <v>1.3</v>
      </c>
      <c r="Q65" s="31"/>
      <c r="R65" s="62">
        <f t="shared" si="20"/>
        <v>149123.3328</v>
      </c>
      <c r="S65" s="52">
        <f>R65*H65</f>
        <v>2385973.3248000001</v>
      </c>
      <c r="T65" s="52">
        <f t="shared" si="10"/>
        <v>114710.25599999999</v>
      </c>
      <c r="U65" s="52">
        <f t="shared" si="7"/>
        <v>108695.42730627306</v>
      </c>
    </row>
    <row r="66" spans="1:21" ht="37.5" customHeight="1" x14ac:dyDescent="0.2">
      <c r="A66" s="24" t="s">
        <v>777</v>
      </c>
      <c r="B66" s="24" t="s">
        <v>704</v>
      </c>
      <c r="C66" s="59"/>
      <c r="D66" s="24" t="s">
        <v>778</v>
      </c>
      <c r="E66" s="24" t="s">
        <v>581</v>
      </c>
      <c r="F66" s="24" t="s">
        <v>643</v>
      </c>
      <c r="G66" s="24" t="s">
        <v>587</v>
      </c>
      <c r="H66" s="27">
        <v>65</v>
      </c>
      <c r="I66" s="60" t="s">
        <v>769</v>
      </c>
      <c r="J66" s="31">
        <v>3.1160000000000001</v>
      </c>
      <c r="K66" s="61">
        <f>J66*13</f>
        <v>40.508000000000003</v>
      </c>
      <c r="L66" s="52">
        <f>24034+29374+88117+16022</f>
        <v>157547</v>
      </c>
      <c r="M66" s="31"/>
      <c r="N66" s="31">
        <v>1.22</v>
      </c>
      <c r="O66" s="31">
        <v>1.35</v>
      </c>
      <c r="P66" s="31">
        <v>1.3</v>
      </c>
      <c r="Q66" s="31"/>
      <c r="R66" s="62">
        <f t="shared" si="20"/>
        <v>337323.88170000003</v>
      </c>
      <c r="S66" s="52">
        <f>R66*13</f>
        <v>4385210.4621000001</v>
      </c>
      <c r="T66" s="52">
        <f t="shared" si="10"/>
        <v>108255.41774711169</v>
      </c>
      <c r="U66" s="52">
        <f t="shared" si="7"/>
        <v>108255.41774711167</v>
      </c>
    </row>
    <row r="67" spans="1:21" ht="37.5" customHeight="1" x14ac:dyDescent="0.2">
      <c r="A67" s="24" t="s">
        <v>779</v>
      </c>
      <c r="B67" s="24" t="s">
        <v>704</v>
      </c>
      <c r="C67" s="59"/>
      <c r="D67" s="24" t="s">
        <v>780</v>
      </c>
      <c r="E67" s="24" t="s">
        <v>581</v>
      </c>
      <c r="F67" s="24" t="s">
        <v>643</v>
      </c>
      <c r="G67" s="24" t="s">
        <v>587</v>
      </c>
      <c r="H67" s="27">
        <v>65</v>
      </c>
      <c r="I67" s="60" t="s">
        <v>781</v>
      </c>
      <c r="J67" s="31">
        <v>5.05</v>
      </c>
      <c r="K67" s="61">
        <f>J67*6+4.05+1.95</f>
        <v>36.299999999999997</v>
      </c>
      <c r="L67" s="52">
        <f>24034+29374+29374+29374+87896+16022+16022+16022</f>
        <v>248118</v>
      </c>
      <c r="M67" s="31"/>
      <c r="N67" s="31">
        <v>1.22</v>
      </c>
      <c r="O67" s="31">
        <v>1.35</v>
      </c>
      <c r="P67" s="31">
        <v>1.3</v>
      </c>
      <c r="Q67" s="31"/>
      <c r="R67" s="62">
        <f t="shared" si="20"/>
        <v>531245.44980000018</v>
      </c>
      <c r="S67" s="52">
        <f>R67*6+(202722+141525)*PRODUCT(N67:P67)</f>
        <v>3924539.9505000012</v>
      </c>
      <c r="T67" s="52">
        <f t="shared" si="10"/>
        <v>105197.11877227726</v>
      </c>
      <c r="U67" s="52">
        <f t="shared" si="7"/>
        <v>108114.04822314053</v>
      </c>
    </row>
    <row r="68" spans="1:21" ht="37.5" customHeight="1" x14ac:dyDescent="0.2">
      <c r="A68" s="24" t="s">
        <v>782</v>
      </c>
      <c r="B68" s="24" t="s">
        <v>652</v>
      </c>
      <c r="C68" s="59"/>
      <c r="D68" s="24" t="s">
        <v>783</v>
      </c>
      <c r="E68" s="24" t="s">
        <v>581</v>
      </c>
      <c r="F68" s="24" t="s">
        <v>19</v>
      </c>
      <c r="G68" s="24" t="s">
        <v>654</v>
      </c>
      <c r="H68" s="27">
        <v>43</v>
      </c>
      <c r="I68" s="60" t="s">
        <v>771</v>
      </c>
      <c r="J68" s="31">
        <f>2.766/4</f>
        <v>0.6915</v>
      </c>
      <c r="K68" s="61">
        <f>J68*3+(0.966+J68*3)*9+(0.966+J68*2)</f>
        <v>31.788</v>
      </c>
      <c r="L68" s="52" t="s">
        <v>784</v>
      </c>
      <c r="M68" s="31" t="s">
        <v>785</v>
      </c>
      <c r="N68" s="31" t="s">
        <v>786</v>
      </c>
      <c r="O68" s="31">
        <v>1.35</v>
      </c>
      <c r="P68" s="31">
        <v>1.3</v>
      </c>
      <c r="Q68" s="31" t="s">
        <v>787</v>
      </c>
      <c r="R68" s="62">
        <f>AVERAGE(43342*1.135*1.35*1.3,27149*1.15*1.22*1.35*1.3*1.0777)</f>
        <v>79188.068979542266</v>
      </c>
      <c r="S68" s="52">
        <f t="shared" ref="S68:S71" si="21">R68*H68</f>
        <v>3405086.9661203176</v>
      </c>
      <c r="T68" s="52">
        <f t="shared" si="10"/>
        <v>114516.36873397291</v>
      </c>
      <c r="U68" s="52">
        <f t="shared" si="7"/>
        <v>107118.62860577318</v>
      </c>
    </row>
    <row r="69" spans="1:21" ht="37.5" customHeight="1" x14ac:dyDescent="0.2">
      <c r="A69" s="24" t="s">
        <v>788</v>
      </c>
      <c r="B69" s="24" t="s">
        <v>652</v>
      </c>
      <c r="C69" s="59"/>
      <c r="D69" s="24" t="s">
        <v>707</v>
      </c>
      <c r="E69" s="24" t="s">
        <v>642</v>
      </c>
      <c r="F69" s="24" t="s">
        <v>586</v>
      </c>
      <c r="G69" s="24" t="s">
        <v>654</v>
      </c>
      <c r="H69" s="27">
        <v>19</v>
      </c>
      <c r="I69" s="60" t="s">
        <v>789</v>
      </c>
      <c r="J69" s="31">
        <v>0.68300000000000005</v>
      </c>
      <c r="K69" s="61">
        <f>J69*5+(0.9+J69*5)*2+0.9</f>
        <v>12.945000000000002</v>
      </c>
      <c r="L69" s="52">
        <v>22365</v>
      </c>
      <c r="M69" s="31">
        <v>1.4</v>
      </c>
      <c r="N69" s="31">
        <v>1.22</v>
      </c>
      <c r="O69" s="31">
        <v>1.35</v>
      </c>
      <c r="P69" s="31">
        <v>1.3</v>
      </c>
      <c r="Q69" s="31">
        <v>1.0777000000000001</v>
      </c>
      <c r="R69" s="62">
        <f t="shared" ref="R69:R81" si="22">PRODUCT(L69:Q69)</f>
        <v>72248.988709170022</v>
      </c>
      <c r="S69" s="52">
        <f t="shared" si="21"/>
        <v>1372730.7854742305</v>
      </c>
      <c r="T69" s="52">
        <f t="shared" si="10"/>
        <v>105781.82827111277</v>
      </c>
      <c r="U69" s="52">
        <f t="shared" si="7"/>
        <v>106043.32062373351</v>
      </c>
    </row>
    <row r="70" spans="1:21" ht="37.5" customHeight="1" x14ac:dyDescent="0.2">
      <c r="A70" s="24" t="s">
        <v>790</v>
      </c>
      <c r="B70" s="24" t="s">
        <v>652</v>
      </c>
      <c r="C70" s="59"/>
      <c r="D70" s="24" t="s">
        <v>791</v>
      </c>
      <c r="E70" s="24" t="s">
        <v>642</v>
      </c>
      <c r="F70" s="24" t="s">
        <v>583</v>
      </c>
      <c r="G70" s="24" t="s">
        <v>654</v>
      </c>
      <c r="H70" s="27">
        <v>21</v>
      </c>
      <c r="I70" s="60" t="s">
        <v>702</v>
      </c>
      <c r="J70" s="31">
        <f>AVERAGE(1.016,1.016,1.183)</f>
        <v>1.0716666666666665</v>
      </c>
      <c r="K70" s="61">
        <f t="shared" ref="K70:K71" si="23">J70*20</f>
        <v>21.43333333333333</v>
      </c>
      <c r="L70" s="52">
        <f>27149*1.15</f>
        <v>31221.35</v>
      </c>
      <c r="M70" s="31">
        <v>1.5</v>
      </c>
      <c r="N70" s="31">
        <v>1.22</v>
      </c>
      <c r="O70" s="31">
        <v>1.35</v>
      </c>
      <c r="P70" s="31">
        <v>1.3</v>
      </c>
      <c r="Q70" s="31">
        <v>1.0777000000000001</v>
      </c>
      <c r="R70" s="62">
        <f t="shared" si="22"/>
        <v>108063.18691362675</v>
      </c>
      <c r="S70" s="52">
        <f t="shared" si="21"/>
        <v>2269326.9251861619</v>
      </c>
      <c r="T70" s="52">
        <f t="shared" si="10"/>
        <v>100836.56632686789</v>
      </c>
      <c r="U70" s="52">
        <f t="shared" si="7"/>
        <v>105878.3946432113</v>
      </c>
    </row>
    <row r="71" spans="1:21" ht="37.5" customHeight="1" x14ac:dyDescent="0.2">
      <c r="A71" s="24" t="s">
        <v>792</v>
      </c>
      <c r="B71" s="24" t="s">
        <v>652</v>
      </c>
      <c r="C71" s="59"/>
      <c r="D71" s="24" t="s">
        <v>658</v>
      </c>
      <c r="E71" s="24" t="s">
        <v>642</v>
      </c>
      <c r="F71" s="24" t="s">
        <v>583</v>
      </c>
      <c r="G71" s="24" t="s">
        <v>654</v>
      </c>
      <c r="H71" s="27">
        <v>21</v>
      </c>
      <c r="I71" s="60" t="s">
        <v>738</v>
      </c>
      <c r="J71" s="31">
        <v>0.83299999999999996</v>
      </c>
      <c r="K71" s="61">
        <f t="shared" si="23"/>
        <v>16.66</v>
      </c>
      <c r="L71" s="52">
        <v>25917</v>
      </c>
      <c r="M71" s="31">
        <v>1.4</v>
      </c>
      <c r="N71" s="31">
        <v>1.22</v>
      </c>
      <c r="O71" s="31">
        <v>1.35</v>
      </c>
      <c r="P71" s="31">
        <v>1.3</v>
      </c>
      <c r="Q71" s="31">
        <v>1.0777000000000001</v>
      </c>
      <c r="R71" s="62">
        <f t="shared" si="22"/>
        <v>83723.543052786001</v>
      </c>
      <c r="S71" s="52">
        <f t="shared" si="21"/>
        <v>1758194.4041085059</v>
      </c>
      <c r="T71" s="52">
        <f t="shared" si="10"/>
        <v>100508.45504536135</v>
      </c>
      <c r="U71" s="52">
        <f t="shared" si="7"/>
        <v>105533.87779762941</v>
      </c>
    </row>
    <row r="72" spans="1:21" ht="37.5" customHeight="1" x14ac:dyDescent="0.2">
      <c r="A72" s="24" t="s">
        <v>793</v>
      </c>
      <c r="B72" s="24" t="s">
        <v>652</v>
      </c>
      <c r="C72" s="59"/>
      <c r="D72" s="24" t="s">
        <v>727</v>
      </c>
      <c r="E72" s="24" t="s">
        <v>581</v>
      </c>
      <c r="F72" s="24" t="s">
        <v>586</v>
      </c>
      <c r="G72" s="24" t="s">
        <v>654</v>
      </c>
      <c r="H72" s="27">
        <v>120</v>
      </c>
      <c r="I72" s="60" t="s">
        <v>794</v>
      </c>
      <c r="J72" s="31">
        <v>2.1</v>
      </c>
      <c r="K72" s="61">
        <f>J72+(0.816+J72)*3</f>
        <v>10.847999999999999</v>
      </c>
      <c r="L72" s="52">
        <v>132595</v>
      </c>
      <c r="M72" s="31"/>
      <c r="N72" s="31">
        <v>1.22</v>
      </c>
      <c r="O72" s="31">
        <v>1.35</v>
      </c>
      <c r="P72" s="31">
        <v>1.3</v>
      </c>
      <c r="Q72" s="31"/>
      <c r="R72" s="62">
        <f t="shared" si="22"/>
        <v>283899.1545</v>
      </c>
      <c r="S72" s="52">
        <f>R72*4</f>
        <v>1135596.618</v>
      </c>
      <c r="T72" s="52">
        <f t="shared" si="10"/>
        <v>135190.07357142857</v>
      </c>
      <c r="U72" s="52">
        <f t="shared" si="7"/>
        <v>104682.57909292036</v>
      </c>
    </row>
    <row r="73" spans="1:21" ht="37.5" customHeight="1" x14ac:dyDescent="0.2">
      <c r="A73" s="24" t="s">
        <v>795</v>
      </c>
      <c r="B73" s="24" t="s">
        <v>641</v>
      </c>
      <c r="C73" s="59"/>
      <c r="D73" s="24"/>
      <c r="E73" s="24" t="s">
        <v>796</v>
      </c>
      <c r="F73" s="24" t="s">
        <v>643</v>
      </c>
      <c r="G73" s="24" t="s">
        <v>587</v>
      </c>
      <c r="H73" s="27">
        <v>9</v>
      </c>
      <c r="I73" s="60" t="s">
        <v>644</v>
      </c>
      <c r="J73" s="31">
        <v>2.1160000000000001</v>
      </c>
      <c r="K73" s="61">
        <f>J73*8</f>
        <v>16.928000000000001</v>
      </c>
      <c r="L73" s="52">
        <f>72339*1.27-(17284-17284/1.1)</f>
        <v>90299.257272727264</v>
      </c>
      <c r="M73" s="31"/>
      <c r="N73" s="31">
        <v>1.22</v>
      </c>
      <c r="O73" s="31">
        <v>1.35</v>
      </c>
      <c r="P73" s="31">
        <v>1.3</v>
      </c>
      <c r="Q73" s="31"/>
      <c r="R73" s="62">
        <f t="shared" si="22"/>
        <v>193339.73974663636</v>
      </c>
      <c r="S73" s="52">
        <f>R73*H73</f>
        <v>1740057.6577197271</v>
      </c>
      <c r="T73" s="52">
        <f t="shared" si="10"/>
        <v>91370.387403892411</v>
      </c>
      <c r="U73" s="52">
        <f t="shared" si="7"/>
        <v>102791.68582937896</v>
      </c>
    </row>
    <row r="74" spans="1:21" ht="37.5" customHeight="1" x14ac:dyDescent="0.2">
      <c r="A74" s="24" t="s">
        <v>797</v>
      </c>
      <c r="B74" s="24" t="s">
        <v>670</v>
      </c>
      <c r="C74" s="59"/>
      <c r="D74" s="24"/>
      <c r="E74" s="24" t="s">
        <v>581</v>
      </c>
      <c r="F74" s="24" t="s">
        <v>643</v>
      </c>
      <c r="G74" s="24" t="s">
        <v>587</v>
      </c>
      <c r="H74" s="27">
        <v>409</v>
      </c>
      <c r="I74" s="60" t="s">
        <v>798</v>
      </c>
      <c r="J74" s="31">
        <v>35.25</v>
      </c>
      <c r="K74" s="61">
        <v>35.25</v>
      </c>
      <c r="L74" s="52">
        <v>1687399</v>
      </c>
      <c r="M74" s="31"/>
      <c r="N74" s="31">
        <v>1.22</v>
      </c>
      <c r="O74" s="31">
        <v>1.35</v>
      </c>
      <c r="P74" s="31">
        <v>1.3</v>
      </c>
      <c r="Q74" s="31"/>
      <c r="R74" s="62">
        <f t="shared" si="22"/>
        <v>3612889.9989000005</v>
      </c>
      <c r="S74" s="52">
        <f>R74</f>
        <v>3612889.9989000005</v>
      </c>
      <c r="T74" s="52">
        <f t="shared" si="10"/>
        <v>102493.33330212768</v>
      </c>
      <c r="U74" s="52">
        <f t="shared" si="7"/>
        <v>102493.33330212768</v>
      </c>
    </row>
    <row r="75" spans="1:21" ht="37.5" customHeight="1" x14ac:dyDescent="0.2">
      <c r="A75" s="24" t="s">
        <v>799</v>
      </c>
      <c r="B75" s="24" t="s">
        <v>652</v>
      </c>
      <c r="C75" s="59"/>
      <c r="D75" s="24" t="s">
        <v>727</v>
      </c>
      <c r="E75" s="24" t="s">
        <v>642</v>
      </c>
      <c r="F75" s="24" t="s">
        <v>586</v>
      </c>
      <c r="G75" s="24" t="s">
        <v>654</v>
      </c>
      <c r="H75" s="27">
        <v>28</v>
      </c>
      <c r="I75" s="60" t="s">
        <v>728</v>
      </c>
      <c r="J75" s="31">
        <v>0.433</v>
      </c>
      <c r="K75" s="61">
        <f>J75*7+(0.816+J75*7)*2+(0.816+J75*3)</f>
        <v>12.84</v>
      </c>
      <c r="L75" s="52">
        <v>17604</v>
      </c>
      <c r="M75" s="31">
        <v>1.1499999999999999</v>
      </c>
      <c r="N75" s="31">
        <v>1.22</v>
      </c>
      <c r="O75" s="31">
        <v>1.35</v>
      </c>
      <c r="P75" s="31">
        <v>1.3</v>
      </c>
      <c r="Q75" s="31">
        <v>1.0777000000000001</v>
      </c>
      <c r="R75" s="62">
        <f t="shared" si="22"/>
        <v>46713.674964762002</v>
      </c>
      <c r="S75" s="52">
        <f t="shared" ref="S75:S76" si="24">R75*H75</f>
        <v>1307982.899013336</v>
      </c>
      <c r="T75" s="52">
        <f t="shared" si="10"/>
        <v>107883.7759001432</v>
      </c>
      <c r="U75" s="52">
        <f t="shared" si="7"/>
        <v>101867.82702596075</v>
      </c>
    </row>
    <row r="76" spans="1:21" ht="37.5" customHeight="1" x14ac:dyDescent="0.2">
      <c r="A76" s="24" t="s">
        <v>800</v>
      </c>
      <c r="B76" s="24" t="s">
        <v>724</v>
      </c>
      <c r="C76" s="59"/>
      <c r="D76" s="24" t="s">
        <v>658</v>
      </c>
      <c r="E76" s="24" t="s">
        <v>642</v>
      </c>
      <c r="F76" s="24" t="s">
        <v>583</v>
      </c>
      <c r="G76" s="24" t="s">
        <v>654</v>
      </c>
      <c r="H76" s="27">
        <v>24</v>
      </c>
      <c r="I76" s="60" t="s">
        <v>801</v>
      </c>
      <c r="J76" s="31">
        <v>0.83299999999999996</v>
      </c>
      <c r="K76" s="61">
        <f>J76*23</f>
        <v>19.158999999999999</v>
      </c>
      <c r="L76" s="52">
        <f>25495*1.15</f>
        <v>29319.249999999996</v>
      </c>
      <c r="M76" s="31">
        <v>1.2</v>
      </c>
      <c r="N76" s="31">
        <v>1.22</v>
      </c>
      <c r="O76" s="31">
        <v>1.35</v>
      </c>
      <c r="P76" s="31">
        <v>1.3</v>
      </c>
      <c r="Q76" s="31">
        <v>1.0777000000000001</v>
      </c>
      <c r="R76" s="62">
        <f t="shared" si="22"/>
        <v>81183.718011357007</v>
      </c>
      <c r="S76" s="52">
        <f t="shared" si="24"/>
        <v>1948409.2322725682</v>
      </c>
      <c r="T76" s="52">
        <f t="shared" si="10"/>
        <v>97459.445391785121</v>
      </c>
      <c r="U76" s="52">
        <f t="shared" si="7"/>
        <v>101696.81258273231</v>
      </c>
    </row>
    <row r="77" spans="1:21" ht="37.5" customHeight="1" x14ac:dyDescent="0.2">
      <c r="A77" s="24" t="s">
        <v>802</v>
      </c>
      <c r="B77" s="24" t="s">
        <v>652</v>
      </c>
      <c r="C77" s="59"/>
      <c r="D77" s="24" t="s">
        <v>658</v>
      </c>
      <c r="E77" s="24" t="s">
        <v>642</v>
      </c>
      <c r="F77" s="24" t="s">
        <v>583</v>
      </c>
      <c r="G77" s="24" t="s">
        <v>654</v>
      </c>
      <c r="H77" s="27">
        <v>21</v>
      </c>
      <c r="I77" s="60" t="s">
        <v>738</v>
      </c>
      <c r="J77" s="31">
        <v>0.83299999999999996</v>
      </c>
      <c r="K77" s="61">
        <f>J77*20</f>
        <v>16.66</v>
      </c>
      <c r="L77" s="52">
        <f>25917*1.15</f>
        <v>29804.55</v>
      </c>
      <c r="M77" s="31">
        <v>1.2</v>
      </c>
      <c r="N77" s="31">
        <v>1.22</v>
      </c>
      <c r="O77" s="31">
        <v>1.35</v>
      </c>
      <c r="P77" s="31">
        <v>1.3</v>
      </c>
      <c r="Q77" s="31">
        <v>1.0777000000000001</v>
      </c>
      <c r="R77" s="62">
        <f t="shared" si="22"/>
        <v>82527.492437746216</v>
      </c>
      <c r="S77" s="52">
        <f>R77*18+R77/1.2*3</f>
        <v>1691813.5949737974</v>
      </c>
      <c r="T77" s="52">
        <f t="shared" si="10"/>
        <v>99072.619973284774</v>
      </c>
      <c r="U77" s="52">
        <f t="shared" si="7"/>
        <v>101549.4354726169</v>
      </c>
    </row>
    <row r="78" spans="1:21" ht="37.5" customHeight="1" x14ac:dyDescent="0.2">
      <c r="A78" s="24" t="s">
        <v>803</v>
      </c>
      <c r="B78" s="24" t="s">
        <v>749</v>
      </c>
      <c r="C78" s="59"/>
      <c r="D78" s="24" t="s">
        <v>750</v>
      </c>
      <c r="E78" s="24" t="s">
        <v>642</v>
      </c>
      <c r="F78" s="24" t="s">
        <v>643</v>
      </c>
      <c r="G78" s="24" t="s">
        <v>587</v>
      </c>
      <c r="H78" s="27">
        <v>23</v>
      </c>
      <c r="I78" s="60" t="s">
        <v>804</v>
      </c>
      <c r="J78" s="31">
        <v>1.4159999999999999</v>
      </c>
      <c r="K78" s="61">
        <f>0.5+1.416*12+1.766+1.416*9</f>
        <v>32.001999999999995</v>
      </c>
      <c r="L78" s="52">
        <f>16009*3</f>
        <v>48027</v>
      </c>
      <c r="M78" s="31">
        <v>1.3</v>
      </c>
      <c r="N78" s="31">
        <v>1.22</v>
      </c>
      <c r="O78" s="31">
        <v>1.35</v>
      </c>
      <c r="P78" s="31">
        <v>1.3</v>
      </c>
      <c r="Q78" s="31">
        <v>1.0777000000000001</v>
      </c>
      <c r="R78" s="62">
        <f t="shared" si="22"/>
        <v>144066.71249579702</v>
      </c>
      <c r="S78" s="52">
        <f>(110821*1.05+110821*1.2)*2+110821*1.3*19</f>
        <v>3235973.2</v>
      </c>
      <c r="T78" s="52">
        <f t="shared" si="10"/>
        <v>101742.02859872671</v>
      </c>
      <c r="U78" s="52">
        <f t="shared" si="7"/>
        <v>101117.84263483534</v>
      </c>
    </row>
    <row r="79" spans="1:21" ht="37.5" customHeight="1" x14ac:dyDescent="0.2">
      <c r="A79" s="24" t="s">
        <v>805</v>
      </c>
      <c r="B79" s="24" t="s">
        <v>724</v>
      </c>
      <c r="C79" s="59"/>
      <c r="D79" s="24" t="s">
        <v>658</v>
      </c>
      <c r="E79" s="24" t="s">
        <v>642</v>
      </c>
      <c r="F79" s="24" t="s">
        <v>583</v>
      </c>
      <c r="G79" s="24" t="s">
        <v>654</v>
      </c>
      <c r="H79" s="27">
        <v>35</v>
      </c>
      <c r="I79" s="60" t="s">
        <v>705</v>
      </c>
      <c r="J79" s="31">
        <v>0.83299999999999996</v>
      </c>
      <c r="K79" s="61">
        <f>J79*34</f>
        <v>28.321999999999999</v>
      </c>
      <c r="L79" s="52">
        <f>25495*1.15</f>
        <v>29319.249999999996</v>
      </c>
      <c r="M79" s="31">
        <v>1.2</v>
      </c>
      <c r="N79" s="31">
        <v>1.22</v>
      </c>
      <c r="O79" s="31">
        <v>1.35</v>
      </c>
      <c r="P79" s="31">
        <v>1.3</v>
      </c>
      <c r="Q79" s="31">
        <v>1.0777000000000001</v>
      </c>
      <c r="R79" s="62">
        <f t="shared" si="22"/>
        <v>81183.718011357007</v>
      </c>
      <c r="S79" s="52">
        <f t="shared" ref="S79:S80" si="25">R79*H79</f>
        <v>2841430.1303974953</v>
      </c>
      <c r="T79" s="52">
        <f t="shared" si="10"/>
        <v>97459.445391785121</v>
      </c>
      <c r="U79" s="52">
        <f t="shared" si="7"/>
        <v>100325.8996680141</v>
      </c>
    </row>
    <row r="80" spans="1:21" ht="37.5" customHeight="1" x14ac:dyDescent="0.2">
      <c r="A80" s="24" t="s">
        <v>806</v>
      </c>
      <c r="B80" s="24" t="s">
        <v>652</v>
      </c>
      <c r="C80" s="59"/>
      <c r="D80" s="24" t="s">
        <v>707</v>
      </c>
      <c r="E80" s="24" t="s">
        <v>642</v>
      </c>
      <c r="F80" s="24" t="s">
        <v>583</v>
      </c>
      <c r="G80" s="24" t="s">
        <v>654</v>
      </c>
      <c r="H80" s="27">
        <v>19</v>
      </c>
      <c r="I80" s="60" t="s">
        <v>789</v>
      </c>
      <c r="J80" s="31">
        <v>0.68300000000000005</v>
      </c>
      <c r="K80" s="61">
        <f>J80*5+(0.9+J80*5)*2+0.9</f>
        <v>12.945000000000002</v>
      </c>
      <c r="L80" s="52">
        <f>22365*1.15</f>
        <v>25719.749999999996</v>
      </c>
      <c r="M80" s="31">
        <v>1.1499999999999999</v>
      </c>
      <c r="N80" s="31">
        <v>1.22</v>
      </c>
      <c r="O80" s="31">
        <v>1.35</v>
      </c>
      <c r="P80" s="31">
        <v>1.3</v>
      </c>
      <c r="Q80" s="31">
        <v>1.0777000000000001</v>
      </c>
      <c r="R80" s="62">
        <f t="shared" si="22"/>
        <v>68249.491119912374</v>
      </c>
      <c r="S80" s="52">
        <f t="shared" si="25"/>
        <v>1296740.3312783351</v>
      </c>
      <c r="T80" s="52">
        <f t="shared" si="10"/>
        <v>99926.04849181899</v>
      </c>
      <c r="U80" s="52">
        <f t="shared" si="7"/>
        <v>100173.06537491965</v>
      </c>
    </row>
    <row r="81" spans="1:21" ht="37.5" customHeight="1" x14ac:dyDescent="0.2">
      <c r="A81" s="24" t="s">
        <v>807</v>
      </c>
      <c r="B81" s="24" t="s">
        <v>704</v>
      </c>
      <c r="C81" s="59"/>
      <c r="D81" s="24"/>
      <c r="E81" s="24" t="s">
        <v>642</v>
      </c>
      <c r="F81" s="24" t="s">
        <v>643</v>
      </c>
      <c r="G81" s="24" t="s">
        <v>587</v>
      </c>
      <c r="H81" s="27">
        <v>56</v>
      </c>
      <c r="I81" s="60" t="s">
        <v>705</v>
      </c>
      <c r="J81" s="31">
        <v>2.4830000000000001</v>
      </c>
      <c r="K81" s="61">
        <f>J81*9+1.1</f>
        <v>23.447000000000003</v>
      </c>
      <c r="L81" s="52">
        <f>53536+14664*2</f>
        <v>82864</v>
      </c>
      <c r="M81" s="31">
        <v>1.35</v>
      </c>
      <c r="N81" s="31">
        <v>1.22</v>
      </c>
      <c r="O81" s="31">
        <v>1.35</v>
      </c>
      <c r="P81" s="31">
        <v>1.3</v>
      </c>
      <c r="Q81" s="31">
        <v>1.0777000000000001</v>
      </c>
      <c r="R81" s="62">
        <f t="shared" si="22"/>
        <v>258127.63152040803</v>
      </c>
      <c r="S81" s="52">
        <f>R81*9+2</f>
        <v>2323150.6836836725</v>
      </c>
      <c r="T81" s="52">
        <f t="shared" si="10"/>
        <v>103957.96678228273</v>
      </c>
      <c r="U81" s="52">
        <f t="shared" si="7"/>
        <v>99080.935031503905</v>
      </c>
    </row>
    <row r="82" spans="1:21" ht="37.5" customHeight="1" x14ac:dyDescent="0.2">
      <c r="A82" s="24" t="s">
        <v>808</v>
      </c>
      <c r="B82" s="24" t="s">
        <v>670</v>
      </c>
      <c r="C82" s="59"/>
      <c r="D82" s="24" t="s">
        <v>716</v>
      </c>
      <c r="E82" s="24" t="s">
        <v>581</v>
      </c>
      <c r="F82" s="24" t="s">
        <v>586</v>
      </c>
      <c r="G82" s="24" t="s">
        <v>654</v>
      </c>
      <c r="H82" s="27">
        <v>22</v>
      </c>
      <c r="I82" s="60" t="s">
        <v>809</v>
      </c>
      <c r="J82" s="31">
        <v>0.51600000000000001</v>
      </c>
      <c r="K82" s="61">
        <v>15.65</v>
      </c>
      <c r="L82" s="52" t="s">
        <v>718</v>
      </c>
      <c r="M82" s="31"/>
      <c r="N82" s="31">
        <v>1.22</v>
      </c>
      <c r="O82" s="31">
        <v>1.35</v>
      </c>
      <c r="P82" s="31">
        <v>1.3</v>
      </c>
      <c r="Q82" s="31"/>
      <c r="R82" s="62">
        <f>PRODUCT(32175,M82:Q82)</f>
        <v>68889.892500000016</v>
      </c>
      <c r="S82" s="52">
        <f>(34507+33050+32175*20)*PRODUCT(M82:P82)</f>
        <v>1522444.1427000002</v>
      </c>
      <c r="T82" s="52">
        <f t="shared" si="10"/>
        <v>133507.5436046512</v>
      </c>
      <c r="U82" s="52">
        <f t="shared" si="7"/>
        <v>97280.775891373807</v>
      </c>
    </row>
    <row r="83" spans="1:21" ht="37.5" customHeight="1" x14ac:dyDescent="0.2">
      <c r="A83" s="24" t="s">
        <v>810</v>
      </c>
      <c r="B83" s="24" t="s">
        <v>704</v>
      </c>
      <c r="C83" s="59"/>
      <c r="D83" s="24"/>
      <c r="E83" s="24" t="s">
        <v>642</v>
      </c>
      <c r="F83" s="24" t="s">
        <v>643</v>
      </c>
      <c r="G83" s="24" t="s">
        <v>587</v>
      </c>
      <c r="H83" s="27">
        <v>80</v>
      </c>
      <c r="I83" s="60" t="s">
        <v>705</v>
      </c>
      <c r="J83" s="31">
        <v>2.7829999999999999</v>
      </c>
      <c r="K83" s="61">
        <f>J83*17</f>
        <v>47.311</v>
      </c>
      <c r="L83" s="52" t="s">
        <v>811</v>
      </c>
      <c r="M83" s="31">
        <v>1.3</v>
      </c>
      <c r="N83" s="31">
        <v>1.22</v>
      </c>
      <c r="O83" s="31">
        <v>1.35</v>
      </c>
      <c r="P83" s="31">
        <v>1.3</v>
      </c>
      <c r="Q83" s="31">
        <v>1.0777000000000001</v>
      </c>
      <c r="R83" s="62" t="s">
        <v>812</v>
      </c>
      <c r="S83" s="52">
        <f>33837+33837*1.03+33837*1.06+108709*1.09+33837*1.12+33837*1.15+33837*1.18+108709*1.21+33837*1.24+33837*1.27+33837*1.3+108709*1.3+(33837*3+108709)*1.3*14</f>
        <v>4567569.3499999996</v>
      </c>
      <c r="T83" s="52">
        <f>(14664+14664+14661+47112)*PRODUCT(M83:Q83)/J83</f>
        <v>98194.717374995002</v>
      </c>
      <c r="U83" s="52">
        <f t="shared" si="7"/>
        <v>96543.496227093055</v>
      </c>
    </row>
    <row r="84" spans="1:21" ht="37.5" customHeight="1" x14ac:dyDescent="0.2">
      <c r="A84" s="24" t="s">
        <v>813</v>
      </c>
      <c r="B84" s="24" t="s">
        <v>724</v>
      </c>
      <c r="C84" s="59"/>
      <c r="D84" s="24" t="s">
        <v>730</v>
      </c>
      <c r="E84" s="24" t="s">
        <v>642</v>
      </c>
      <c r="F84" s="24" t="s">
        <v>583</v>
      </c>
      <c r="G84" s="24" t="s">
        <v>654</v>
      </c>
      <c r="H84" s="27">
        <v>71</v>
      </c>
      <c r="I84" s="60" t="s">
        <v>814</v>
      </c>
      <c r="J84" s="31">
        <v>0.433</v>
      </c>
      <c r="K84" s="61">
        <f>J84*46+0.8+J84*24</f>
        <v>31.11</v>
      </c>
      <c r="L84" s="52">
        <f>15783*1.15</f>
        <v>18150.449999999997</v>
      </c>
      <c r="M84" s="31"/>
      <c r="N84" s="31">
        <v>1.22</v>
      </c>
      <c r="O84" s="31">
        <v>1.35</v>
      </c>
      <c r="P84" s="31">
        <v>1.3</v>
      </c>
      <c r="Q84" s="31">
        <v>1.0777000000000001</v>
      </c>
      <c r="R84" s="62">
        <f t="shared" ref="R84:R100" si="26">PRODUCT(L84:Q84)</f>
        <v>41881.500339061502</v>
      </c>
      <c r="S84" s="52">
        <f t="shared" ref="S84:S85" si="27">R84*H84</f>
        <v>2973586.5240733665</v>
      </c>
      <c r="T84" s="52">
        <f t="shared" ref="T84:T100" si="28">R84/J84</f>
        <v>96724.019258802553</v>
      </c>
      <c r="U84" s="52">
        <f t="shared" si="7"/>
        <v>95582.980523091173</v>
      </c>
    </row>
    <row r="85" spans="1:21" ht="37.5" customHeight="1" x14ac:dyDescent="0.2">
      <c r="A85" s="24" t="s">
        <v>815</v>
      </c>
      <c r="B85" s="24" t="s">
        <v>724</v>
      </c>
      <c r="C85" s="59"/>
      <c r="D85" s="24" t="s">
        <v>730</v>
      </c>
      <c r="E85" s="24" t="s">
        <v>642</v>
      </c>
      <c r="F85" s="24" t="s">
        <v>583</v>
      </c>
      <c r="G85" s="24" t="s">
        <v>654</v>
      </c>
      <c r="H85" s="27">
        <v>71</v>
      </c>
      <c r="I85" s="60" t="s">
        <v>705</v>
      </c>
      <c r="J85" s="31">
        <v>0.433</v>
      </c>
      <c r="K85" s="61">
        <f t="shared" ref="K85:K86" si="29">0.433*64+0.8*6</f>
        <v>32.512</v>
      </c>
      <c r="L85" s="52">
        <v>15783</v>
      </c>
      <c r="M85" s="31">
        <v>1.2</v>
      </c>
      <c r="N85" s="31">
        <v>1.22</v>
      </c>
      <c r="O85" s="31">
        <v>1.35</v>
      </c>
      <c r="P85" s="31">
        <v>1.3</v>
      </c>
      <c r="Q85" s="31">
        <v>1.0777000000000001</v>
      </c>
      <c r="R85" s="62">
        <f t="shared" si="26"/>
        <v>43702.435136412001</v>
      </c>
      <c r="S85" s="52">
        <f t="shared" si="27"/>
        <v>3102872.8946852521</v>
      </c>
      <c r="T85" s="52">
        <f t="shared" si="28"/>
        <v>100929.41140048961</v>
      </c>
      <c r="U85" s="52">
        <f t="shared" si="7"/>
        <v>95437.773581608388</v>
      </c>
    </row>
    <row r="86" spans="1:21" ht="37.5" customHeight="1" x14ac:dyDescent="0.2">
      <c r="A86" s="24" t="s">
        <v>816</v>
      </c>
      <c r="B86" s="24" t="s">
        <v>724</v>
      </c>
      <c r="C86" s="59"/>
      <c r="D86" s="24" t="s">
        <v>730</v>
      </c>
      <c r="E86" s="24" t="s">
        <v>642</v>
      </c>
      <c r="F86" s="24" t="s">
        <v>586</v>
      </c>
      <c r="G86" s="24" t="s">
        <v>654</v>
      </c>
      <c r="H86" s="27">
        <v>71</v>
      </c>
      <c r="I86" s="60" t="s">
        <v>705</v>
      </c>
      <c r="J86" s="31">
        <v>0.433</v>
      </c>
      <c r="K86" s="61">
        <f t="shared" si="29"/>
        <v>32.512</v>
      </c>
      <c r="L86" s="52">
        <v>15783</v>
      </c>
      <c r="M86" s="31">
        <v>1.2</v>
      </c>
      <c r="N86" s="31">
        <v>1.22</v>
      </c>
      <c r="O86" s="31">
        <v>1.35</v>
      </c>
      <c r="P86" s="31">
        <v>1.3</v>
      </c>
      <c r="Q86" s="31">
        <v>1.0777000000000001</v>
      </c>
      <c r="R86" s="62">
        <f t="shared" si="26"/>
        <v>43702.435136412001</v>
      </c>
      <c r="S86" s="52">
        <f>R86*67+R86/1.2*4</f>
        <v>3073737.9379276438</v>
      </c>
      <c r="T86" s="52">
        <f t="shared" si="28"/>
        <v>100929.41140048961</v>
      </c>
      <c r="U86" s="52">
        <f t="shared" si="7"/>
        <v>94541.644252203609</v>
      </c>
    </row>
    <row r="87" spans="1:21" ht="37.5" customHeight="1" x14ac:dyDescent="0.2">
      <c r="A87" s="24" t="s">
        <v>817</v>
      </c>
      <c r="B87" s="24" t="s">
        <v>704</v>
      </c>
      <c r="C87" s="59"/>
      <c r="D87" s="24"/>
      <c r="E87" s="24" t="s">
        <v>642</v>
      </c>
      <c r="F87" s="24" t="s">
        <v>643</v>
      </c>
      <c r="G87" s="24" t="s">
        <v>587</v>
      </c>
      <c r="H87" s="27">
        <v>80</v>
      </c>
      <c r="I87" s="60" t="s">
        <v>705</v>
      </c>
      <c r="J87" s="31">
        <v>0.46600000000000003</v>
      </c>
      <c r="K87" s="61">
        <f>J87*118</f>
        <v>54.988</v>
      </c>
      <c r="L87" s="52">
        <v>14664</v>
      </c>
      <c r="M87" s="31">
        <v>1.3</v>
      </c>
      <c r="N87" s="31">
        <v>1.22</v>
      </c>
      <c r="O87" s="31">
        <v>1.35</v>
      </c>
      <c r="P87" s="31">
        <v>1.3</v>
      </c>
      <c r="Q87" s="31">
        <v>1.0777000000000001</v>
      </c>
      <c r="R87" s="62">
        <f t="shared" si="26"/>
        <v>43987.637621304013</v>
      </c>
      <c r="S87" s="52">
        <f>33837+33837*1.03+33837*1.06+33837*1.09+33837*1.12+33837*1.15+33837*1.18+33837*1.21+33837*1.24+33837*1.27+33837*109*1.3</f>
        <v>5178752.8500000006</v>
      </c>
      <c r="T87" s="52">
        <f t="shared" si="28"/>
        <v>94394.072148721054</v>
      </c>
      <c r="U87" s="52">
        <f t="shared" si="7"/>
        <v>94179.691023496052</v>
      </c>
    </row>
    <row r="88" spans="1:21" ht="37.5" customHeight="1" x14ac:dyDescent="0.2">
      <c r="A88" s="24" t="s">
        <v>818</v>
      </c>
      <c r="B88" s="24" t="s">
        <v>749</v>
      </c>
      <c r="C88" s="59"/>
      <c r="D88" s="24" t="s">
        <v>819</v>
      </c>
      <c r="E88" s="24" t="s">
        <v>642</v>
      </c>
      <c r="F88" s="24" t="s">
        <v>643</v>
      </c>
      <c r="G88" s="24" t="s">
        <v>587</v>
      </c>
      <c r="H88" s="27">
        <v>23</v>
      </c>
      <c r="I88" s="60" t="s">
        <v>820</v>
      </c>
      <c r="J88" s="31">
        <v>1.383</v>
      </c>
      <c r="K88" s="61">
        <f>0.483+1.383*7+(1.75+1.383*4)*3</f>
        <v>32.010000000000005</v>
      </c>
      <c r="L88" s="52">
        <f>15689*3</f>
        <v>47067</v>
      </c>
      <c r="M88" s="31">
        <v>1.2</v>
      </c>
      <c r="N88" s="31">
        <v>1.22</v>
      </c>
      <c r="O88" s="31">
        <v>1.35</v>
      </c>
      <c r="P88" s="31">
        <v>1.3</v>
      </c>
      <c r="Q88" s="31">
        <v>1.0777000000000001</v>
      </c>
      <c r="R88" s="62">
        <f t="shared" si="26"/>
        <v>130326.45977098805</v>
      </c>
      <c r="S88" s="52">
        <f t="shared" ref="S88:S89" si="30">R88*H88</f>
        <v>2997508.574732725</v>
      </c>
      <c r="T88" s="52">
        <f t="shared" si="28"/>
        <v>94234.60576354884</v>
      </c>
      <c r="U88" s="52">
        <f t="shared" si="7"/>
        <v>93642.879560534973</v>
      </c>
    </row>
    <row r="89" spans="1:21" ht="37.5" customHeight="1" x14ac:dyDescent="0.2">
      <c r="A89" s="24" t="s">
        <v>821</v>
      </c>
      <c r="B89" s="24" t="s">
        <v>652</v>
      </c>
      <c r="C89" s="59"/>
      <c r="D89" s="24" t="s">
        <v>791</v>
      </c>
      <c r="E89" s="24" t="s">
        <v>642</v>
      </c>
      <c r="F89" s="24" t="s">
        <v>586</v>
      </c>
      <c r="G89" s="24" t="s">
        <v>654</v>
      </c>
      <c r="H89" s="27">
        <v>21</v>
      </c>
      <c r="I89" s="60" t="s">
        <v>702</v>
      </c>
      <c r="J89" s="31">
        <f>AVERAGE(1.016,1.016,1.183)</f>
        <v>1.0716666666666665</v>
      </c>
      <c r="K89" s="61">
        <f>J89*20</f>
        <v>21.43333333333333</v>
      </c>
      <c r="L89" s="52">
        <v>27149</v>
      </c>
      <c r="M89" s="31">
        <v>1.5</v>
      </c>
      <c r="N89" s="31">
        <v>1.22</v>
      </c>
      <c r="O89" s="31">
        <v>1.35</v>
      </c>
      <c r="P89" s="31">
        <v>1.3</v>
      </c>
      <c r="Q89" s="31">
        <v>1.0777000000000001</v>
      </c>
      <c r="R89" s="62">
        <f t="shared" si="26"/>
        <v>93967.988620545017</v>
      </c>
      <c r="S89" s="52">
        <f t="shared" si="30"/>
        <v>1973327.7610314453</v>
      </c>
      <c r="T89" s="52">
        <f t="shared" si="28"/>
        <v>87683.970719015575</v>
      </c>
      <c r="U89" s="52">
        <f t="shared" si="7"/>
        <v>92068.169254966357</v>
      </c>
    </row>
    <row r="90" spans="1:21" ht="37.5" customHeight="1" x14ac:dyDescent="0.2">
      <c r="A90" s="24" t="s">
        <v>822</v>
      </c>
      <c r="B90" s="24" t="s">
        <v>670</v>
      </c>
      <c r="C90" s="59"/>
      <c r="D90" s="24"/>
      <c r="E90" s="24" t="s">
        <v>581</v>
      </c>
      <c r="F90" s="24" t="s">
        <v>583</v>
      </c>
      <c r="G90" s="24" t="s">
        <v>654</v>
      </c>
      <c r="H90" s="27">
        <v>1</v>
      </c>
      <c r="I90" s="60" t="s">
        <v>823</v>
      </c>
      <c r="J90" s="31">
        <v>12.866</v>
      </c>
      <c r="K90" s="61">
        <f>J90+J90/2+0.783</f>
        <v>20.082000000000001</v>
      </c>
      <c r="L90" s="52">
        <f>2946*194</f>
        <v>571524</v>
      </c>
      <c r="M90" s="31"/>
      <c r="N90" s="31">
        <v>1.22</v>
      </c>
      <c r="O90" s="31">
        <v>1.35</v>
      </c>
      <c r="P90" s="31">
        <v>1.3</v>
      </c>
      <c r="Q90" s="31"/>
      <c r="R90" s="62">
        <f t="shared" si="26"/>
        <v>1223690.0364000001</v>
      </c>
      <c r="S90" s="52">
        <f>R90*1.5</f>
        <v>1835535.0546000001</v>
      </c>
      <c r="T90" s="52">
        <f t="shared" si="28"/>
        <v>95110.371242033274</v>
      </c>
      <c r="U90" s="52">
        <f t="shared" si="7"/>
        <v>91402.004511502848</v>
      </c>
    </row>
    <row r="91" spans="1:21" ht="37.5" customHeight="1" x14ac:dyDescent="0.2">
      <c r="A91" s="24" t="s">
        <v>824</v>
      </c>
      <c r="B91" s="24" t="s">
        <v>749</v>
      </c>
      <c r="C91" s="59"/>
      <c r="D91" s="24" t="s">
        <v>825</v>
      </c>
      <c r="E91" s="24" t="s">
        <v>642</v>
      </c>
      <c r="F91" s="24" t="s">
        <v>643</v>
      </c>
      <c r="G91" s="24" t="s">
        <v>587</v>
      </c>
      <c r="H91" s="27">
        <v>34</v>
      </c>
      <c r="I91" s="60" t="s">
        <v>705</v>
      </c>
      <c r="J91" s="31">
        <v>0.98299999999999998</v>
      </c>
      <c r="K91" s="61">
        <f>0.45+J91*29+1.233*4</f>
        <v>33.888999999999996</v>
      </c>
      <c r="L91" s="52">
        <v>32741</v>
      </c>
      <c r="M91" s="31">
        <v>1.2</v>
      </c>
      <c r="N91" s="31">
        <v>1.22</v>
      </c>
      <c r="O91" s="31">
        <v>1.35</v>
      </c>
      <c r="P91" s="31">
        <v>1.3</v>
      </c>
      <c r="Q91" s="31">
        <v>1.0777000000000001</v>
      </c>
      <c r="R91" s="62">
        <f t="shared" si="26"/>
        <v>90658.393765524001</v>
      </c>
      <c r="S91" s="52">
        <f>R91*H91</f>
        <v>3082385.3880278161</v>
      </c>
      <c r="T91" s="52">
        <f t="shared" si="28"/>
        <v>92226.23984285249</v>
      </c>
      <c r="U91" s="52">
        <f t="shared" si="7"/>
        <v>90955.336186603803</v>
      </c>
    </row>
    <row r="92" spans="1:21" ht="37.5" customHeight="1" x14ac:dyDescent="0.2">
      <c r="A92" s="24" t="s">
        <v>826</v>
      </c>
      <c r="B92" s="24" t="s">
        <v>749</v>
      </c>
      <c r="C92" s="59"/>
      <c r="D92" s="24" t="s">
        <v>827</v>
      </c>
      <c r="E92" s="24" t="s">
        <v>642</v>
      </c>
      <c r="F92" s="24" t="s">
        <v>643</v>
      </c>
      <c r="G92" s="24" t="s">
        <v>587</v>
      </c>
      <c r="H92" s="27">
        <v>43</v>
      </c>
      <c r="I92" s="60" t="s">
        <v>828</v>
      </c>
      <c r="J92" s="31">
        <v>1.0660000000000001</v>
      </c>
      <c r="K92" s="61">
        <f>0.5+1.066*9+(2.5+1.066*11)*2+(2.5+1.066*8)</f>
        <v>49.574000000000005</v>
      </c>
      <c r="L92" s="52">
        <v>34454</v>
      </c>
      <c r="M92" s="31">
        <v>1.35</v>
      </c>
      <c r="N92" s="31">
        <v>1.22</v>
      </c>
      <c r="O92" s="31">
        <v>1.35</v>
      </c>
      <c r="P92" s="31">
        <v>1.3</v>
      </c>
      <c r="Q92" s="31">
        <v>1.0777000000000001</v>
      </c>
      <c r="R92" s="62">
        <f t="shared" si="26"/>
        <v>107326.817633763</v>
      </c>
      <c r="S92" s="52">
        <f>R92*39+R92/1.35*4</f>
        <v>4503751.2732982775</v>
      </c>
      <c r="T92" s="52">
        <f t="shared" si="28"/>
        <v>100681.81766769511</v>
      </c>
      <c r="U92" s="52">
        <f t="shared" si="7"/>
        <v>90849.059452500849</v>
      </c>
    </row>
    <row r="93" spans="1:21" ht="37.5" customHeight="1" x14ac:dyDescent="0.2">
      <c r="A93" s="24" t="s">
        <v>829</v>
      </c>
      <c r="B93" s="24" t="s">
        <v>652</v>
      </c>
      <c r="C93" s="59"/>
      <c r="D93" s="24"/>
      <c r="E93" s="24" t="s">
        <v>642</v>
      </c>
      <c r="F93" s="24" t="s">
        <v>586</v>
      </c>
      <c r="G93" s="24" t="s">
        <v>654</v>
      </c>
      <c r="H93" s="27">
        <v>21</v>
      </c>
      <c r="I93" s="60" t="s">
        <v>738</v>
      </c>
      <c r="J93" s="31">
        <v>1.016</v>
      </c>
      <c r="K93" s="61">
        <f>J93*20</f>
        <v>20.32</v>
      </c>
      <c r="L93" s="52">
        <v>27149</v>
      </c>
      <c r="M93" s="31">
        <v>1.4</v>
      </c>
      <c r="N93" s="31">
        <v>1.22</v>
      </c>
      <c r="O93" s="31">
        <v>1.35</v>
      </c>
      <c r="P93" s="31">
        <v>1.3</v>
      </c>
      <c r="Q93" s="31">
        <v>1.0777000000000001</v>
      </c>
      <c r="R93" s="62">
        <f t="shared" si="26"/>
        <v>87703.456045842002</v>
      </c>
      <c r="S93" s="52">
        <f t="shared" ref="S93:S94" si="31">R93*H93</f>
        <v>1841772.576962682</v>
      </c>
      <c r="T93" s="52">
        <f t="shared" si="28"/>
        <v>86322.299257718507</v>
      </c>
      <c r="U93" s="52">
        <f t="shared" si="7"/>
        <v>90638.41422060442</v>
      </c>
    </row>
    <row r="94" spans="1:21" ht="37.5" customHeight="1" x14ac:dyDescent="0.2">
      <c r="A94" s="24" t="s">
        <v>830</v>
      </c>
      <c r="B94" s="24" t="s">
        <v>724</v>
      </c>
      <c r="C94" s="59"/>
      <c r="D94" s="24"/>
      <c r="E94" s="24" t="s">
        <v>642</v>
      </c>
      <c r="F94" s="24" t="s">
        <v>583</v>
      </c>
      <c r="G94" s="24" t="s">
        <v>654</v>
      </c>
      <c r="H94" s="27">
        <v>23</v>
      </c>
      <c r="I94" s="60" t="s">
        <v>831</v>
      </c>
      <c r="J94" s="31">
        <v>0.65</v>
      </c>
      <c r="K94" s="61">
        <f>0.65*19+0.816*3</f>
        <v>14.798</v>
      </c>
      <c r="L94" s="52">
        <v>20836</v>
      </c>
      <c r="M94" s="31">
        <v>1.2</v>
      </c>
      <c r="N94" s="31">
        <v>1.22</v>
      </c>
      <c r="O94" s="31">
        <v>1.35</v>
      </c>
      <c r="P94" s="31">
        <v>1.3</v>
      </c>
      <c r="Q94" s="31">
        <v>1.0777000000000001</v>
      </c>
      <c r="R94" s="62">
        <f t="shared" si="26"/>
        <v>57693.970633104007</v>
      </c>
      <c r="S94" s="52">
        <f t="shared" si="31"/>
        <v>1326961.3245613922</v>
      </c>
      <c r="T94" s="52">
        <f t="shared" si="28"/>
        <v>88759.954820160012</v>
      </c>
      <c r="U94" s="52">
        <f t="shared" si="7"/>
        <v>89671.666749654833</v>
      </c>
    </row>
    <row r="95" spans="1:21" ht="37.5" customHeight="1" x14ac:dyDescent="0.2">
      <c r="A95" s="24" t="s">
        <v>832</v>
      </c>
      <c r="B95" s="24" t="s">
        <v>704</v>
      </c>
      <c r="C95" s="59"/>
      <c r="D95" s="24"/>
      <c r="E95" s="24" t="s">
        <v>642</v>
      </c>
      <c r="F95" s="24" t="s">
        <v>643</v>
      </c>
      <c r="G95" s="24" t="s">
        <v>587</v>
      </c>
      <c r="H95" s="27">
        <v>63</v>
      </c>
      <c r="I95" s="60" t="s">
        <v>771</v>
      </c>
      <c r="J95" s="31">
        <v>2.016</v>
      </c>
      <c r="K95" s="61">
        <f>J95*15</f>
        <v>30.240000000000002</v>
      </c>
      <c r="L95" s="52">
        <v>78876</v>
      </c>
      <c r="M95" s="31"/>
      <c r="N95" s="31">
        <v>1.22</v>
      </c>
      <c r="O95" s="31">
        <v>1.35</v>
      </c>
      <c r="P95" s="31">
        <v>1.3</v>
      </c>
      <c r="Q95" s="31"/>
      <c r="R95" s="62">
        <f t="shared" si="26"/>
        <v>168881.40360000002</v>
      </c>
      <c r="S95" s="52">
        <f>R95*16</f>
        <v>2702102.4576000003</v>
      </c>
      <c r="T95" s="52">
        <f t="shared" si="28"/>
        <v>83770.537500000006</v>
      </c>
      <c r="U95" s="52">
        <f t="shared" si="7"/>
        <v>89355.24</v>
      </c>
    </row>
    <row r="96" spans="1:21" ht="37.5" customHeight="1" x14ac:dyDescent="0.2">
      <c r="A96" s="24" t="s">
        <v>833</v>
      </c>
      <c r="B96" s="24" t="s">
        <v>834</v>
      </c>
      <c r="C96" s="59"/>
      <c r="D96" s="24" t="s">
        <v>835</v>
      </c>
      <c r="E96" s="24" t="s">
        <v>642</v>
      </c>
      <c r="F96" s="24" t="s">
        <v>586</v>
      </c>
      <c r="G96" s="24" t="s">
        <v>654</v>
      </c>
      <c r="H96" s="27">
        <v>19</v>
      </c>
      <c r="I96" s="60" t="s">
        <v>836</v>
      </c>
      <c r="J96" s="31">
        <v>1.3160000000000001</v>
      </c>
      <c r="K96" s="61">
        <f>0.765+1.316*4+(1.65+1.316*4)*2+1.65+1.316*3</f>
        <v>25.454999999999998</v>
      </c>
      <c r="L96" s="52">
        <f>7055*5</f>
        <v>35275</v>
      </c>
      <c r="M96" s="31">
        <v>1.47</v>
      </c>
      <c r="N96" s="31">
        <v>1.22</v>
      </c>
      <c r="O96" s="31">
        <v>1.35</v>
      </c>
      <c r="P96" s="31">
        <v>1.3</v>
      </c>
      <c r="Q96" s="31">
        <v>1.0777000000000001</v>
      </c>
      <c r="R96" s="62">
        <f t="shared" si="26"/>
        <v>119651.78763924752</v>
      </c>
      <c r="S96" s="52">
        <f t="shared" ref="S96:S97" si="32">R96*H96</f>
        <v>2273383.9651457029</v>
      </c>
      <c r="T96" s="52">
        <f t="shared" si="28"/>
        <v>90920.811276023946</v>
      </c>
      <c r="U96" s="52">
        <f t="shared" si="7"/>
        <v>89309.918096472335</v>
      </c>
    </row>
    <row r="97" spans="1:21" ht="37.5" customHeight="1" x14ac:dyDescent="0.2">
      <c r="A97" s="24" t="s">
        <v>837</v>
      </c>
      <c r="B97" s="24" t="s">
        <v>724</v>
      </c>
      <c r="C97" s="59"/>
      <c r="D97" s="24" t="s">
        <v>658</v>
      </c>
      <c r="E97" s="24" t="s">
        <v>642</v>
      </c>
      <c r="F97" s="24" t="s">
        <v>586</v>
      </c>
      <c r="G97" s="24" t="s">
        <v>654</v>
      </c>
      <c r="H97" s="27">
        <v>24</v>
      </c>
      <c r="I97" s="60" t="s">
        <v>801</v>
      </c>
      <c r="J97" s="31">
        <v>0.83299999999999996</v>
      </c>
      <c r="K97" s="61">
        <f>J97*23</f>
        <v>19.158999999999999</v>
      </c>
      <c r="L97" s="52">
        <v>25495</v>
      </c>
      <c r="M97" s="31">
        <v>1.2</v>
      </c>
      <c r="N97" s="31">
        <v>1.22</v>
      </c>
      <c r="O97" s="31">
        <v>1.35</v>
      </c>
      <c r="P97" s="31">
        <v>1.3</v>
      </c>
      <c r="Q97" s="31">
        <v>1.0777000000000001</v>
      </c>
      <c r="R97" s="62">
        <f t="shared" si="26"/>
        <v>70594.537401180016</v>
      </c>
      <c r="S97" s="52">
        <f t="shared" si="32"/>
        <v>1694268.8976283204</v>
      </c>
      <c r="T97" s="52">
        <f t="shared" si="28"/>
        <v>84747.343818943598</v>
      </c>
      <c r="U97" s="52">
        <f t="shared" si="7"/>
        <v>88432.010941506363</v>
      </c>
    </row>
    <row r="98" spans="1:21" ht="37.5" customHeight="1" x14ac:dyDescent="0.2">
      <c r="A98" s="24" t="s">
        <v>838</v>
      </c>
      <c r="B98" s="24" t="s">
        <v>652</v>
      </c>
      <c r="C98" s="59"/>
      <c r="D98" s="24" t="s">
        <v>658</v>
      </c>
      <c r="E98" s="24" t="s">
        <v>642</v>
      </c>
      <c r="F98" s="24" t="s">
        <v>586</v>
      </c>
      <c r="G98" s="24" t="s">
        <v>654</v>
      </c>
      <c r="H98" s="27">
        <v>21</v>
      </c>
      <c r="I98" s="60" t="s">
        <v>738</v>
      </c>
      <c r="J98" s="31">
        <v>0.83299999999999996</v>
      </c>
      <c r="K98" s="61">
        <f>J98*20</f>
        <v>16.66</v>
      </c>
      <c r="L98" s="52">
        <v>25917</v>
      </c>
      <c r="M98" s="31">
        <v>1.2</v>
      </c>
      <c r="N98" s="31">
        <v>1.22</v>
      </c>
      <c r="O98" s="31">
        <v>1.35</v>
      </c>
      <c r="P98" s="31">
        <v>1.3</v>
      </c>
      <c r="Q98" s="31">
        <v>1.0777000000000001</v>
      </c>
      <c r="R98" s="62">
        <f t="shared" si="26"/>
        <v>71763.036902388019</v>
      </c>
      <c r="S98" s="52">
        <f>R98*18+R98/1.2*3</f>
        <v>1471142.2564989543</v>
      </c>
      <c r="T98" s="52">
        <f t="shared" si="28"/>
        <v>86150.104324595464</v>
      </c>
      <c r="U98" s="52">
        <f t="shared" si="7"/>
        <v>88303.856932710332</v>
      </c>
    </row>
    <row r="99" spans="1:21" ht="37.5" customHeight="1" x14ac:dyDescent="0.2">
      <c r="A99" s="24" t="s">
        <v>839</v>
      </c>
      <c r="B99" s="24" t="s">
        <v>724</v>
      </c>
      <c r="C99" s="59"/>
      <c r="D99" s="24" t="s">
        <v>727</v>
      </c>
      <c r="E99" s="24" t="s">
        <v>642</v>
      </c>
      <c r="F99" s="24" t="s">
        <v>586</v>
      </c>
      <c r="G99" s="24" t="s">
        <v>654</v>
      </c>
      <c r="H99" s="27">
        <v>43</v>
      </c>
      <c r="I99" s="60" t="s">
        <v>705</v>
      </c>
      <c r="J99" s="31">
        <v>0.65</v>
      </c>
      <c r="K99" s="61">
        <f>0.65*36+0.816*6</f>
        <v>28.296000000000003</v>
      </c>
      <c r="L99" s="52">
        <v>20836</v>
      </c>
      <c r="M99" s="31">
        <v>1.2</v>
      </c>
      <c r="N99" s="31">
        <v>1.22</v>
      </c>
      <c r="O99" s="31">
        <v>1.35</v>
      </c>
      <c r="P99" s="31">
        <v>1.3</v>
      </c>
      <c r="Q99" s="31">
        <v>1.0777000000000001</v>
      </c>
      <c r="R99" s="62">
        <f t="shared" si="26"/>
        <v>57693.970633104007</v>
      </c>
      <c r="S99" s="52">
        <f t="shared" ref="S99:S100" si="33">R99*H99</f>
        <v>2480840.7372234724</v>
      </c>
      <c r="T99" s="52">
        <f t="shared" si="28"/>
        <v>88759.954820160012</v>
      </c>
      <c r="U99" s="52">
        <f t="shared" si="7"/>
        <v>87674.609033908404</v>
      </c>
    </row>
    <row r="100" spans="1:21" ht="37.5" customHeight="1" x14ac:dyDescent="0.2">
      <c r="A100" s="24" t="s">
        <v>840</v>
      </c>
      <c r="B100" s="24" t="s">
        <v>652</v>
      </c>
      <c r="C100" s="59"/>
      <c r="D100" s="24" t="s">
        <v>707</v>
      </c>
      <c r="E100" s="24" t="s">
        <v>642</v>
      </c>
      <c r="F100" s="24" t="s">
        <v>586</v>
      </c>
      <c r="G100" s="24" t="s">
        <v>654</v>
      </c>
      <c r="H100" s="27">
        <v>19</v>
      </c>
      <c r="I100" s="60" t="s">
        <v>789</v>
      </c>
      <c r="J100" s="31">
        <v>0.68300000000000005</v>
      </c>
      <c r="K100" s="61">
        <f>J100*5+(0.9+J100*5)*2+0.9</f>
        <v>12.945000000000002</v>
      </c>
      <c r="L100" s="52">
        <v>22365</v>
      </c>
      <c r="M100" s="31">
        <v>1.1499999999999999</v>
      </c>
      <c r="N100" s="31">
        <v>1.22</v>
      </c>
      <c r="O100" s="31">
        <v>1.35</v>
      </c>
      <c r="P100" s="31">
        <v>1.3</v>
      </c>
      <c r="Q100" s="31">
        <v>1.0777000000000001</v>
      </c>
      <c r="R100" s="62">
        <f t="shared" si="26"/>
        <v>59347.3835825325</v>
      </c>
      <c r="S100" s="52">
        <f t="shared" si="33"/>
        <v>1127600.2880681176</v>
      </c>
      <c r="T100" s="52">
        <f t="shared" si="28"/>
        <v>86892.216079842605</v>
      </c>
      <c r="U100" s="52">
        <f t="shared" si="7"/>
        <v>87107.013369495355</v>
      </c>
    </row>
    <row r="101" spans="1:21" ht="37.5" customHeight="1" x14ac:dyDescent="0.2">
      <c r="A101" s="24" t="s">
        <v>841</v>
      </c>
      <c r="B101" s="24" t="s">
        <v>704</v>
      </c>
      <c r="C101" s="59"/>
      <c r="D101" s="24"/>
      <c r="E101" s="24" t="s">
        <v>642</v>
      </c>
      <c r="F101" s="24" t="s">
        <v>643</v>
      </c>
      <c r="G101" s="24" t="s">
        <v>587</v>
      </c>
      <c r="H101" s="27">
        <v>69</v>
      </c>
      <c r="I101" s="60" t="s">
        <v>842</v>
      </c>
      <c r="J101" s="31">
        <v>2.75</v>
      </c>
      <c r="K101" s="61">
        <f>J101*7</f>
        <v>19.25</v>
      </c>
      <c r="L101" s="52" t="s">
        <v>843</v>
      </c>
      <c r="M101" s="31"/>
      <c r="N101" s="31">
        <v>1.22</v>
      </c>
      <c r="O101" s="31">
        <v>1.35</v>
      </c>
      <c r="P101" s="31">
        <v>1.3</v>
      </c>
      <c r="Q101" s="31"/>
      <c r="R101" s="62" t="s">
        <v>844</v>
      </c>
      <c r="S101" s="52">
        <f>(29421*2+88260*2)*7</f>
        <v>1647534</v>
      </c>
      <c r="T101" s="52">
        <f>(29421*2+88260*2)/J101</f>
        <v>85586.181818181823</v>
      </c>
      <c r="U101" s="52">
        <f t="shared" si="7"/>
        <v>85586.181818181823</v>
      </c>
    </row>
    <row r="102" spans="1:21" ht="37.5" customHeight="1" x14ac:dyDescent="0.2">
      <c r="A102" s="24" t="s">
        <v>845</v>
      </c>
      <c r="B102" s="24" t="s">
        <v>834</v>
      </c>
      <c r="C102" s="59"/>
      <c r="D102" s="24" t="s">
        <v>846</v>
      </c>
      <c r="E102" s="24" t="s">
        <v>642</v>
      </c>
      <c r="F102" s="24" t="s">
        <v>583</v>
      </c>
      <c r="G102" s="24" t="s">
        <v>654</v>
      </c>
      <c r="H102" s="27">
        <v>22</v>
      </c>
      <c r="I102" s="60" t="s">
        <v>847</v>
      </c>
      <c r="J102" s="31">
        <f>0.95*0.9</f>
        <v>0.85499999999999998</v>
      </c>
      <c r="K102" s="61">
        <f>0.4+J102*15+1.321+J102*5</f>
        <v>18.820999999999998</v>
      </c>
      <c r="L102" s="52">
        <f>2888*9</f>
        <v>25992</v>
      </c>
      <c r="M102" s="31">
        <v>1.2</v>
      </c>
      <c r="N102" s="31">
        <v>1.22</v>
      </c>
      <c r="O102" s="31">
        <v>1.35</v>
      </c>
      <c r="P102" s="31">
        <v>1.3</v>
      </c>
      <c r="Q102" s="31">
        <v>1.0777000000000001</v>
      </c>
      <c r="R102" s="62">
        <f>PRODUCT(L102:Q102)</f>
        <v>71970.708614688003</v>
      </c>
      <c r="S102" s="52">
        <f>R102*22</f>
        <v>1583355.5895231362</v>
      </c>
      <c r="T102" s="52">
        <f>R102/J102</f>
        <v>84176.267385600004</v>
      </c>
      <c r="U102" s="52">
        <f t="shared" si="7"/>
        <v>84127.070268483949</v>
      </c>
    </row>
    <row r="103" spans="1:21" ht="37.5" customHeight="1" x14ac:dyDescent="0.2">
      <c r="A103" s="24" t="s">
        <v>848</v>
      </c>
      <c r="B103" s="24" t="s">
        <v>704</v>
      </c>
      <c r="C103" s="59"/>
      <c r="D103" s="24"/>
      <c r="E103" s="24" t="s">
        <v>642</v>
      </c>
      <c r="F103" s="24" t="s">
        <v>643</v>
      </c>
      <c r="G103" s="24" t="s">
        <v>587</v>
      </c>
      <c r="H103" s="27">
        <v>69</v>
      </c>
      <c r="I103" s="60" t="s">
        <v>842</v>
      </c>
      <c r="J103" s="31">
        <v>3.8660000000000001</v>
      </c>
      <c r="K103" s="61">
        <f>J103*7</f>
        <v>27.062000000000001</v>
      </c>
      <c r="L103" s="52" t="s">
        <v>843</v>
      </c>
      <c r="M103" s="31">
        <v>1.5</v>
      </c>
      <c r="N103" s="31">
        <v>1.22</v>
      </c>
      <c r="O103" s="31">
        <v>1.35</v>
      </c>
      <c r="P103" s="31">
        <v>1.3</v>
      </c>
      <c r="Q103" s="31"/>
      <c r="R103" s="62" t="s">
        <v>849</v>
      </c>
      <c r="S103" s="52">
        <f>(29421*2+132391*2)*7</f>
        <v>2265368</v>
      </c>
      <c r="T103" s="52">
        <f>(29421*2+132391*2)/J103</f>
        <v>83710.294878427318</v>
      </c>
      <c r="U103" s="52">
        <f t="shared" si="7"/>
        <v>83710.294878427318</v>
      </c>
    </row>
    <row r="104" spans="1:21" ht="37.5" customHeight="1" x14ac:dyDescent="0.2">
      <c r="A104" s="24" t="s">
        <v>850</v>
      </c>
      <c r="B104" s="24" t="s">
        <v>834</v>
      </c>
      <c r="C104" s="59"/>
      <c r="D104" s="24" t="s">
        <v>851</v>
      </c>
      <c r="E104" s="24" t="s">
        <v>642</v>
      </c>
      <c r="F104" s="24" t="s">
        <v>583</v>
      </c>
      <c r="G104" s="24" t="s">
        <v>654</v>
      </c>
      <c r="H104" s="27">
        <v>22</v>
      </c>
      <c r="I104" s="60" t="s">
        <v>852</v>
      </c>
      <c r="J104" s="31">
        <v>1.133</v>
      </c>
      <c r="K104" s="61">
        <f>0.566+J104*5+(1.55+J104*5)*2+(1.55+J104*3)</f>
        <v>25.61</v>
      </c>
      <c r="L104" s="52">
        <f>4068*7</f>
        <v>28476</v>
      </c>
      <c r="M104" s="31">
        <v>1.47</v>
      </c>
      <c r="N104" s="31">
        <v>1.22</v>
      </c>
      <c r="O104" s="31">
        <v>1.35</v>
      </c>
      <c r="P104" s="31">
        <v>1.3</v>
      </c>
      <c r="Q104" s="31">
        <v>1.0777000000000001</v>
      </c>
      <c r="R104" s="62">
        <f t="shared" ref="R104:R124" si="34">PRODUCT(L104:Q104)</f>
        <v>96589.774764428425</v>
      </c>
      <c r="S104" s="52">
        <f t="shared" ref="S104:S105" si="35">R104*H104</f>
        <v>2124975.0448174253</v>
      </c>
      <c r="T104" s="52">
        <f t="shared" ref="T104:T127" si="36">R104/J104</f>
        <v>85251.345776194546</v>
      </c>
      <c r="U104" s="52">
        <f t="shared" si="7"/>
        <v>82974.425803101345</v>
      </c>
    </row>
    <row r="105" spans="1:21" ht="37.5" customHeight="1" x14ac:dyDescent="0.2">
      <c r="A105" s="24" t="s">
        <v>853</v>
      </c>
      <c r="B105" s="24" t="s">
        <v>673</v>
      </c>
      <c r="C105" s="59"/>
      <c r="D105" s="24"/>
      <c r="E105" s="24" t="s">
        <v>581</v>
      </c>
      <c r="F105" s="24" t="s">
        <v>643</v>
      </c>
      <c r="G105" s="24" t="s">
        <v>587</v>
      </c>
      <c r="H105" s="27">
        <v>17</v>
      </c>
      <c r="I105" s="60" t="s">
        <v>644</v>
      </c>
      <c r="J105" s="31">
        <v>1.5</v>
      </c>
      <c r="K105" s="61">
        <f>J105*16</f>
        <v>24</v>
      </c>
      <c r="L105" s="52">
        <v>54607</v>
      </c>
      <c r="M105" s="31"/>
      <c r="N105" s="31">
        <v>1.22</v>
      </c>
      <c r="O105" s="31">
        <v>1.35</v>
      </c>
      <c r="P105" s="31">
        <v>1.3</v>
      </c>
      <c r="Q105" s="31"/>
      <c r="R105" s="62">
        <f t="shared" si="34"/>
        <v>116919.0477</v>
      </c>
      <c r="S105" s="52">
        <f t="shared" si="35"/>
        <v>1987623.8108999999</v>
      </c>
      <c r="T105" s="52">
        <f t="shared" si="36"/>
        <v>77946.031799999997</v>
      </c>
      <c r="U105" s="52">
        <f t="shared" si="7"/>
        <v>82817.658787499997</v>
      </c>
    </row>
    <row r="106" spans="1:21" ht="37.5" customHeight="1" x14ac:dyDescent="0.2">
      <c r="A106" s="24" t="s">
        <v>854</v>
      </c>
      <c r="B106" s="24" t="s">
        <v>670</v>
      </c>
      <c r="C106" s="59"/>
      <c r="D106" s="24"/>
      <c r="E106" s="24" t="s">
        <v>642</v>
      </c>
      <c r="F106" s="24" t="s">
        <v>583</v>
      </c>
      <c r="G106" s="24" t="s">
        <v>671</v>
      </c>
      <c r="H106" s="27" t="s">
        <v>647</v>
      </c>
      <c r="I106" s="60" t="s">
        <v>593</v>
      </c>
      <c r="J106" s="31">
        <v>6.0830000000000002</v>
      </c>
      <c r="K106" s="61">
        <f>J106</f>
        <v>6.0830000000000002</v>
      </c>
      <c r="L106" s="52">
        <f>215863/1.2</f>
        <v>179885.83333333334</v>
      </c>
      <c r="M106" s="31">
        <v>1.2</v>
      </c>
      <c r="N106" s="31">
        <v>1.22</v>
      </c>
      <c r="O106" s="31">
        <v>1.35</v>
      </c>
      <c r="P106" s="31">
        <v>1.3</v>
      </c>
      <c r="Q106" s="31">
        <v>1.0777000000000001</v>
      </c>
      <c r="R106" s="62">
        <f t="shared" si="34"/>
        <v>498095.98702461011</v>
      </c>
      <c r="S106" s="52" t="s">
        <v>647</v>
      </c>
      <c r="T106" s="52">
        <f t="shared" si="36"/>
        <v>81883.279142628657</v>
      </c>
      <c r="U106" s="52">
        <f t="shared" si="7"/>
        <v>81883.279142628657</v>
      </c>
    </row>
    <row r="107" spans="1:21" ht="37.5" customHeight="1" x14ac:dyDescent="0.2">
      <c r="A107" s="24" t="s">
        <v>855</v>
      </c>
      <c r="B107" s="24" t="s">
        <v>652</v>
      </c>
      <c r="C107" s="59"/>
      <c r="D107" s="24" t="s">
        <v>856</v>
      </c>
      <c r="E107" s="24" t="s">
        <v>581</v>
      </c>
      <c r="F107" s="24" t="s">
        <v>583</v>
      </c>
      <c r="G107" s="24" t="s">
        <v>654</v>
      </c>
      <c r="H107" s="27">
        <v>22</v>
      </c>
      <c r="I107" s="60" t="s">
        <v>680</v>
      </c>
      <c r="J107" s="31">
        <v>1.1160000000000001</v>
      </c>
      <c r="K107" s="61">
        <f>J107*21</f>
        <v>23.436000000000003</v>
      </c>
      <c r="L107" s="52">
        <v>43342</v>
      </c>
      <c r="M107" s="31"/>
      <c r="N107" s="31">
        <v>1.135</v>
      </c>
      <c r="O107" s="31">
        <v>1.35</v>
      </c>
      <c r="P107" s="31">
        <v>1.3</v>
      </c>
      <c r="Q107" s="31"/>
      <c r="R107" s="62">
        <f t="shared" si="34"/>
        <v>86334.013350000008</v>
      </c>
      <c r="S107" s="52">
        <f>R107*H107</f>
        <v>1899348.2937000003</v>
      </c>
      <c r="T107" s="52">
        <f t="shared" si="36"/>
        <v>77360.227016129036</v>
      </c>
      <c r="U107" s="52">
        <f t="shared" si="7"/>
        <v>81044.047350230408</v>
      </c>
    </row>
    <row r="108" spans="1:21" ht="37.5" customHeight="1" x14ac:dyDescent="0.2">
      <c r="A108" s="24" t="s">
        <v>857</v>
      </c>
      <c r="B108" s="24" t="s">
        <v>670</v>
      </c>
      <c r="C108" s="59"/>
      <c r="D108" s="24"/>
      <c r="E108" s="24" t="s">
        <v>581</v>
      </c>
      <c r="F108" s="24" t="s">
        <v>643</v>
      </c>
      <c r="G108" s="24" t="s">
        <v>587</v>
      </c>
      <c r="H108" s="27">
        <v>600</v>
      </c>
      <c r="I108" s="60" t="s">
        <v>858</v>
      </c>
      <c r="J108" s="31">
        <v>40.015999999999998</v>
      </c>
      <c r="K108" s="61" t="s">
        <v>593</v>
      </c>
      <c r="L108" s="52">
        <f>499400*3</f>
        <v>1498200</v>
      </c>
      <c r="M108" s="31"/>
      <c r="N108" s="31">
        <v>1.22</v>
      </c>
      <c r="O108" s="31">
        <v>1.35</v>
      </c>
      <c r="P108" s="31">
        <v>1.3</v>
      </c>
      <c r="Q108" s="31"/>
      <c r="R108" s="62">
        <f t="shared" si="34"/>
        <v>3207796.0200000005</v>
      </c>
      <c r="S108" s="52">
        <f>R108</f>
        <v>3207796.0200000005</v>
      </c>
      <c r="T108" s="52">
        <f t="shared" si="36"/>
        <v>80162.83536585368</v>
      </c>
      <c r="U108" s="52">
        <f t="shared" si="7"/>
        <v>80162.83536585368</v>
      </c>
    </row>
    <row r="109" spans="1:21" ht="37.5" customHeight="1" x14ac:dyDescent="0.2">
      <c r="A109" s="24" t="s">
        <v>859</v>
      </c>
      <c r="B109" s="24" t="s">
        <v>670</v>
      </c>
      <c r="C109" s="59"/>
      <c r="D109" s="24" t="s">
        <v>707</v>
      </c>
      <c r="E109" s="24" t="s">
        <v>581</v>
      </c>
      <c r="F109" s="24" t="s">
        <v>583</v>
      </c>
      <c r="G109" s="24" t="s">
        <v>654</v>
      </c>
      <c r="H109" s="27">
        <v>87</v>
      </c>
      <c r="I109" s="60" t="s">
        <v>731</v>
      </c>
      <c r="J109" s="31">
        <v>0.28299999999999997</v>
      </c>
      <c r="K109" s="61">
        <f>J109*11+(0.9+J109*11)*6+(0.9+J109*2)</f>
        <v>28.657</v>
      </c>
      <c r="L109" s="52">
        <v>12196</v>
      </c>
      <c r="M109" s="31"/>
      <c r="N109" s="31">
        <v>1.22</v>
      </c>
      <c r="O109" s="31">
        <v>1.35</v>
      </c>
      <c r="P109" s="31">
        <v>1.3</v>
      </c>
      <c r="Q109" s="31"/>
      <c r="R109" s="62">
        <f t="shared" si="34"/>
        <v>26112.855600000003</v>
      </c>
      <c r="S109" s="52">
        <f t="shared" ref="S109:S110" si="37">R109*H109</f>
        <v>2271818.4372</v>
      </c>
      <c r="T109" s="52">
        <f t="shared" si="36"/>
        <v>92271.57455830391</v>
      </c>
      <c r="U109" s="52">
        <f t="shared" si="7"/>
        <v>79276.213043933414</v>
      </c>
    </row>
    <row r="110" spans="1:21" ht="37.5" customHeight="1" x14ac:dyDescent="0.2">
      <c r="A110" s="24" t="s">
        <v>860</v>
      </c>
      <c r="B110" s="24" t="s">
        <v>834</v>
      </c>
      <c r="C110" s="59"/>
      <c r="D110" s="24" t="s">
        <v>861</v>
      </c>
      <c r="E110" s="24" t="s">
        <v>642</v>
      </c>
      <c r="F110" s="24" t="s">
        <v>586</v>
      </c>
      <c r="G110" s="24" t="s">
        <v>654</v>
      </c>
      <c r="H110" s="27">
        <v>22</v>
      </c>
      <c r="I110" s="60" t="s">
        <v>862</v>
      </c>
      <c r="J110" s="31">
        <v>1.1000000000000001</v>
      </c>
      <c r="K110" s="61">
        <f>0.6+1.1*4+(0.783+0.6+1.1*4)*3+(0.783+0.6+1.1)</f>
        <v>24.832000000000001</v>
      </c>
      <c r="L110" s="52">
        <f>3922*7</f>
        <v>27454</v>
      </c>
      <c r="M110" s="31">
        <v>1.4</v>
      </c>
      <c r="N110" s="31">
        <v>1.22</v>
      </c>
      <c r="O110" s="31">
        <v>1.35</v>
      </c>
      <c r="P110" s="31">
        <v>1.3</v>
      </c>
      <c r="Q110" s="31">
        <v>1.0777000000000001</v>
      </c>
      <c r="R110" s="62">
        <f t="shared" si="34"/>
        <v>88688.742947532024</v>
      </c>
      <c r="S110" s="52">
        <f t="shared" si="37"/>
        <v>1951152.3448457045</v>
      </c>
      <c r="T110" s="52">
        <f t="shared" si="36"/>
        <v>80626.129952301839</v>
      </c>
      <c r="U110" s="52">
        <f t="shared" si="7"/>
        <v>78574.111825294152</v>
      </c>
    </row>
    <row r="111" spans="1:21" ht="37.5" customHeight="1" x14ac:dyDescent="0.2">
      <c r="A111" s="24" t="s">
        <v>863</v>
      </c>
      <c r="B111" s="24" t="s">
        <v>834</v>
      </c>
      <c r="C111" s="59"/>
      <c r="D111" s="24" t="s">
        <v>864</v>
      </c>
      <c r="E111" s="24" t="s">
        <v>642</v>
      </c>
      <c r="F111" s="24" t="s">
        <v>586</v>
      </c>
      <c r="G111" s="24" t="s">
        <v>654</v>
      </c>
      <c r="H111" s="27">
        <v>19</v>
      </c>
      <c r="I111" s="60" t="s">
        <v>865</v>
      </c>
      <c r="J111" s="31">
        <v>1.466</v>
      </c>
      <c r="K111" s="61">
        <f>0.933+J111*0.9*18</f>
        <v>24.682199999999998</v>
      </c>
      <c r="L111" s="52">
        <f>7199*5</f>
        <v>35995</v>
      </c>
      <c r="M111" s="31">
        <v>1.2</v>
      </c>
      <c r="N111" s="31">
        <v>1.22</v>
      </c>
      <c r="O111" s="31">
        <v>1.35</v>
      </c>
      <c r="P111" s="31">
        <v>1.3</v>
      </c>
      <c r="Q111" s="31">
        <v>1.0777000000000001</v>
      </c>
      <c r="R111" s="62">
        <f t="shared" si="34"/>
        <v>99668.577123180032</v>
      </c>
      <c r="S111" s="52">
        <f>R111*18+R111/1.2</f>
        <v>1877091.5358198907</v>
      </c>
      <c r="T111" s="52">
        <f t="shared" si="36"/>
        <v>67986.751107216944</v>
      </c>
      <c r="U111" s="52">
        <f t="shared" si="7"/>
        <v>76050.414299369208</v>
      </c>
    </row>
    <row r="112" spans="1:21" ht="37.5" customHeight="1" x14ac:dyDescent="0.2">
      <c r="A112" s="24" t="s">
        <v>866</v>
      </c>
      <c r="B112" s="24" t="s">
        <v>867</v>
      </c>
      <c r="C112" s="59"/>
      <c r="D112" s="24" t="s">
        <v>707</v>
      </c>
      <c r="E112" s="24" t="s">
        <v>642</v>
      </c>
      <c r="F112" s="24" t="s">
        <v>586</v>
      </c>
      <c r="G112" s="24" t="s">
        <v>654</v>
      </c>
      <c r="H112" s="27">
        <v>62</v>
      </c>
      <c r="I112" s="60" t="s">
        <v>868</v>
      </c>
      <c r="J112" s="31">
        <v>0.61599999999999999</v>
      </c>
      <c r="K112" s="61">
        <f>J112*57+0.9*4</f>
        <v>38.712000000000003</v>
      </c>
      <c r="L112" s="52">
        <v>14455</v>
      </c>
      <c r="M112" s="31">
        <v>1.4</v>
      </c>
      <c r="N112" s="31">
        <v>1.22</v>
      </c>
      <c r="O112" s="31">
        <v>1.35</v>
      </c>
      <c r="P112" s="31">
        <v>1.3</v>
      </c>
      <c r="Q112" s="31">
        <v>1.0777000000000001</v>
      </c>
      <c r="R112" s="62">
        <f t="shared" si="34"/>
        <v>46696.138242390007</v>
      </c>
      <c r="S112" s="52">
        <f>R112*H112</f>
        <v>2895160.5710281804</v>
      </c>
      <c r="T112" s="52">
        <f t="shared" si="36"/>
        <v>75805.419224659097</v>
      </c>
      <c r="U112" s="52">
        <f t="shared" si="7"/>
        <v>74787.160855243346</v>
      </c>
    </row>
    <row r="113" spans="1:21" ht="37.5" customHeight="1" x14ac:dyDescent="0.2">
      <c r="A113" s="24" t="s">
        <v>869</v>
      </c>
      <c r="B113" s="24" t="s">
        <v>834</v>
      </c>
      <c r="C113" s="59"/>
      <c r="D113" s="24" t="s">
        <v>870</v>
      </c>
      <c r="E113" s="24" t="s">
        <v>642</v>
      </c>
      <c r="F113" s="24" t="s">
        <v>586</v>
      </c>
      <c r="G113" s="24" t="s">
        <v>654</v>
      </c>
      <c r="H113" s="27">
        <v>22</v>
      </c>
      <c r="I113" s="60" t="s">
        <v>871</v>
      </c>
      <c r="J113" s="31">
        <f>1.166*0.9</f>
        <v>1.0493999999999999</v>
      </c>
      <c r="K113" s="61">
        <f>0.633+1.049*21</f>
        <v>22.661999999999999</v>
      </c>
      <c r="L113" s="52">
        <f>4002*7</f>
        <v>28014</v>
      </c>
      <c r="M113" s="31">
        <v>1.2</v>
      </c>
      <c r="N113" s="31">
        <v>1.22</v>
      </c>
      <c r="O113" s="31">
        <v>1.35</v>
      </c>
      <c r="P113" s="31">
        <v>1.3</v>
      </c>
      <c r="Q113" s="31">
        <v>1.0777000000000001</v>
      </c>
      <c r="R113" s="62">
        <f t="shared" si="34"/>
        <v>77569.537978296008</v>
      </c>
      <c r="S113" s="52">
        <f t="shared" ref="S113:S114" si="38">R113*21+R113/1.2</f>
        <v>1693601.5791927963</v>
      </c>
      <c r="T113" s="52">
        <f t="shared" si="36"/>
        <v>73917.989306552336</v>
      </c>
      <c r="U113" s="52">
        <f t="shared" si="7"/>
        <v>74733.10295617317</v>
      </c>
    </row>
    <row r="114" spans="1:21" ht="37.5" customHeight="1" x14ac:dyDescent="0.2">
      <c r="A114" s="24" t="s">
        <v>872</v>
      </c>
      <c r="B114" s="24" t="s">
        <v>834</v>
      </c>
      <c r="C114" s="59"/>
      <c r="D114" s="24" t="s">
        <v>864</v>
      </c>
      <c r="E114" s="24" t="s">
        <v>642</v>
      </c>
      <c r="F114" s="24" t="s">
        <v>586</v>
      </c>
      <c r="G114" s="24" t="s">
        <v>654</v>
      </c>
      <c r="H114" s="27">
        <v>22</v>
      </c>
      <c r="I114" s="60" t="s">
        <v>873</v>
      </c>
      <c r="J114" s="31">
        <v>1.466</v>
      </c>
      <c r="K114" s="61">
        <f>0.933+J114*0.9*20+1.883</f>
        <v>29.203999999999997</v>
      </c>
      <c r="L114" s="52">
        <f>7199*5</f>
        <v>35995</v>
      </c>
      <c r="M114" s="31">
        <v>1.2</v>
      </c>
      <c r="N114" s="31">
        <v>1.22</v>
      </c>
      <c r="O114" s="31">
        <v>1.35</v>
      </c>
      <c r="P114" s="31">
        <v>1.3</v>
      </c>
      <c r="Q114" s="31">
        <v>1.0777000000000001</v>
      </c>
      <c r="R114" s="62">
        <f t="shared" si="34"/>
        <v>99668.577123180032</v>
      </c>
      <c r="S114" s="52">
        <f t="shared" si="38"/>
        <v>2176097.2671894305</v>
      </c>
      <c r="T114" s="52">
        <f t="shared" si="36"/>
        <v>67986.751107216944</v>
      </c>
      <c r="U114" s="52">
        <f t="shared" si="7"/>
        <v>74513.671661054337</v>
      </c>
    </row>
    <row r="115" spans="1:21" ht="37.5" customHeight="1" x14ac:dyDescent="0.2">
      <c r="A115" s="24" t="s">
        <v>874</v>
      </c>
      <c r="B115" s="24" t="s">
        <v>749</v>
      </c>
      <c r="C115" s="59"/>
      <c r="D115" s="24" t="s">
        <v>875</v>
      </c>
      <c r="E115" s="24" t="s">
        <v>581</v>
      </c>
      <c r="F115" s="24" t="s">
        <v>583</v>
      </c>
      <c r="G115" s="24" t="s">
        <v>654</v>
      </c>
      <c r="H115" s="27">
        <v>23</v>
      </c>
      <c r="I115" s="60" t="s">
        <v>876</v>
      </c>
      <c r="J115" s="31">
        <v>1.05</v>
      </c>
      <c r="K115" s="61">
        <f>J115*5+(1.266+J115*5)*2+(1.266+J115*4)</f>
        <v>23.748000000000001</v>
      </c>
      <c r="L115" s="52">
        <v>33679</v>
      </c>
      <c r="M115" s="31"/>
      <c r="N115" s="31">
        <v>1.22</v>
      </c>
      <c r="O115" s="31">
        <v>1.35</v>
      </c>
      <c r="P115" s="31">
        <v>1.3</v>
      </c>
      <c r="Q115" s="31"/>
      <c r="R115" s="62">
        <f t="shared" si="34"/>
        <v>72110.106899999999</v>
      </c>
      <c r="S115" s="52">
        <f t="shared" ref="S115:S116" si="39">R115*H115</f>
        <v>1658532.4587000001</v>
      </c>
      <c r="T115" s="52">
        <f t="shared" si="36"/>
        <v>68676.292285714284</v>
      </c>
      <c r="U115" s="52">
        <f t="shared" si="7"/>
        <v>69838.826793835266</v>
      </c>
    </row>
    <row r="116" spans="1:21" ht="37.5" customHeight="1" x14ac:dyDescent="0.2">
      <c r="A116" s="24" t="s">
        <v>877</v>
      </c>
      <c r="B116" s="24" t="s">
        <v>834</v>
      </c>
      <c r="C116" s="59"/>
      <c r="D116" s="24" t="s">
        <v>878</v>
      </c>
      <c r="E116" s="24" t="s">
        <v>642</v>
      </c>
      <c r="F116" s="24" t="s">
        <v>586</v>
      </c>
      <c r="G116" s="24" t="s">
        <v>654</v>
      </c>
      <c r="H116" s="27">
        <v>22</v>
      </c>
      <c r="I116" s="60" t="s">
        <v>879</v>
      </c>
      <c r="J116" s="31">
        <v>0.95</v>
      </c>
      <c r="K116" s="61">
        <f>0.4+J116*6+(1.416+J116*6)*2+1.416</f>
        <v>21.748000000000001</v>
      </c>
      <c r="L116" s="52">
        <f>2888*9</f>
        <v>25992</v>
      </c>
      <c r="M116" s="31">
        <v>1.1499999999999999</v>
      </c>
      <c r="N116" s="31">
        <v>1.22</v>
      </c>
      <c r="O116" s="31">
        <v>1.35</v>
      </c>
      <c r="P116" s="31">
        <v>1.3</v>
      </c>
      <c r="Q116" s="31">
        <v>1.0777000000000001</v>
      </c>
      <c r="R116" s="62">
        <f t="shared" si="34"/>
        <v>68971.929089076017</v>
      </c>
      <c r="S116" s="52">
        <f t="shared" si="39"/>
        <v>1517382.4399596723</v>
      </c>
      <c r="T116" s="52">
        <f t="shared" si="36"/>
        <v>72602.030620080026</v>
      </c>
      <c r="U116" s="52">
        <f t="shared" si="7"/>
        <v>69771.125618892416</v>
      </c>
    </row>
    <row r="117" spans="1:21" ht="37.5" customHeight="1" x14ac:dyDescent="0.2">
      <c r="A117" s="24" t="s">
        <v>880</v>
      </c>
      <c r="B117" s="24" t="s">
        <v>834</v>
      </c>
      <c r="C117" s="59"/>
      <c r="D117" s="24" t="s">
        <v>861</v>
      </c>
      <c r="E117" s="24" t="s">
        <v>642</v>
      </c>
      <c r="F117" s="24" t="s">
        <v>586</v>
      </c>
      <c r="G117" s="24" t="s">
        <v>654</v>
      </c>
      <c r="H117" s="27">
        <v>22</v>
      </c>
      <c r="I117" s="60" t="s">
        <v>873</v>
      </c>
      <c r="J117" s="31">
        <v>1.1000000000000001</v>
      </c>
      <c r="K117" s="61">
        <f>(0.6+1.1*17)+(0.783+0.6+1.1*3)</f>
        <v>23.983000000000004</v>
      </c>
      <c r="L117" s="52">
        <f>3922*7</f>
        <v>27454</v>
      </c>
      <c r="M117" s="31">
        <v>1.25</v>
      </c>
      <c r="N117" s="31">
        <v>1.22</v>
      </c>
      <c r="O117" s="31">
        <v>1.35</v>
      </c>
      <c r="P117" s="31">
        <v>1.3</v>
      </c>
      <c r="Q117" s="31">
        <v>1.0777000000000001</v>
      </c>
      <c r="R117" s="62">
        <f t="shared" si="34"/>
        <v>79186.377631725016</v>
      </c>
      <c r="S117" s="52">
        <f>R117*16+R117/1.25*6</f>
        <v>1647076.6547398805</v>
      </c>
      <c r="T117" s="52">
        <f t="shared" si="36"/>
        <v>71987.616028840916</v>
      </c>
      <c r="U117" s="52">
        <f t="shared" si="7"/>
        <v>68676.840042525131</v>
      </c>
    </row>
    <row r="118" spans="1:21" ht="37.5" customHeight="1" x14ac:dyDescent="0.2">
      <c r="A118" s="24" t="s">
        <v>881</v>
      </c>
      <c r="B118" s="24" t="s">
        <v>834</v>
      </c>
      <c r="C118" s="59"/>
      <c r="D118" s="24" t="s">
        <v>864</v>
      </c>
      <c r="E118" s="24" t="s">
        <v>642</v>
      </c>
      <c r="F118" s="24" t="s">
        <v>586</v>
      </c>
      <c r="G118" s="24" t="s">
        <v>654</v>
      </c>
      <c r="H118" s="27">
        <v>19</v>
      </c>
      <c r="I118" s="60" t="s">
        <v>865</v>
      </c>
      <c r="J118" s="31">
        <v>1.466</v>
      </c>
      <c r="K118" s="61">
        <f t="shared" ref="K118:K119" si="40">0.933+J118*18</f>
        <v>27.320999999999998</v>
      </c>
      <c r="L118" s="52">
        <f t="shared" ref="L118:L119" si="41">7199*5</f>
        <v>35995</v>
      </c>
      <c r="M118" s="31">
        <v>1.25</v>
      </c>
      <c r="N118" s="31">
        <v>1.22</v>
      </c>
      <c r="O118" s="31">
        <v>1.35</v>
      </c>
      <c r="P118" s="31">
        <v>1.3</v>
      </c>
      <c r="Q118" s="31">
        <v>1.0777000000000001</v>
      </c>
      <c r="R118" s="62">
        <f t="shared" si="34"/>
        <v>103821.43450331251</v>
      </c>
      <c r="S118" s="52">
        <f>R118*13+R118/1.25*6</f>
        <v>1848021.5341589628</v>
      </c>
      <c r="T118" s="52">
        <f t="shared" si="36"/>
        <v>70819.532403350968</v>
      </c>
      <c r="U118" s="52">
        <f t="shared" si="7"/>
        <v>67641.064900953948</v>
      </c>
    </row>
    <row r="119" spans="1:21" ht="37.5" customHeight="1" x14ac:dyDescent="0.2">
      <c r="A119" s="24" t="s">
        <v>882</v>
      </c>
      <c r="B119" s="24" t="s">
        <v>834</v>
      </c>
      <c r="C119" s="59"/>
      <c r="D119" s="24" t="s">
        <v>864</v>
      </c>
      <c r="E119" s="24" t="s">
        <v>642</v>
      </c>
      <c r="F119" s="24" t="s">
        <v>586</v>
      </c>
      <c r="G119" s="24" t="s">
        <v>654</v>
      </c>
      <c r="H119" s="27">
        <v>19</v>
      </c>
      <c r="I119" s="60" t="s">
        <v>865</v>
      </c>
      <c r="J119" s="31">
        <v>1.466</v>
      </c>
      <c r="K119" s="61">
        <f t="shared" si="40"/>
        <v>27.320999999999998</v>
      </c>
      <c r="L119" s="52">
        <f t="shared" si="41"/>
        <v>35995</v>
      </c>
      <c r="M119" s="31">
        <v>1.1499999999999999</v>
      </c>
      <c r="N119" s="31">
        <v>1.22</v>
      </c>
      <c r="O119" s="31">
        <v>1.35</v>
      </c>
      <c r="P119" s="31">
        <v>1.3</v>
      </c>
      <c r="Q119" s="31">
        <v>1.0777000000000001</v>
      </c>
      <c r="R119" s="62">
        <f t="shared" si="34"/>
        <v>95515.719743047521</v>
      </c>
      <c r="S119" s="52">
        <f t="shared" ref="S119:S120" si="42">R119*H119</f>
        <v>1814798.6751179029</v>
      </c>
      <c r="T119" s="52">
        <f t="shared" si="36"/>
        <v>65153.969811082898</v>
      </c>
      <c r="U119" s="52">
        <f t="shared" si="7"/>
        <v>66425.045756667139</v>
      </c>
    </row>
    <row r="120" spans="1:21" ht="37.5" customHeight="1" x14ac:dyDescent="0.2">
      <c r="A120" s="24" t="s">
        <v>883</v>
      </c>
      <c r="B120" s="24" t="s">
        <v>834</v>
      </c>
      <c r="C120" s="59"/>
      <c r="D120" s="24" t="s">
        <v>861</v>
      </c>
      <c r="E120" s="24" t="s">
        <v>642</v>
      </c>
      <c r="F120" s="24" t="s">
        <v>583</v>
      </c>
      <c r="G120" s="24" t="s">
        <v>654</v>
      </c>
      <c r="H120" s="27">
        <v>22</v>
      </c>
      <c r="I120" s="60" t="s">
        <v>862</v>
      </c>
      <c r="J120" s="31">
        <v>1.1000000000000001</v>
      </c>
      <c r="K120" s="61">
        <f>0.6+1.1*4+(0.783+0.6+1.1*4)*3+(0.783+0.6+1.1)</f>
        <v>24.832000000000001</v>
      </c>
      <c r="L120" s="52">
        <f>3922*7</f>
        <v>27454</v>
      </c>
      <c r="M120" s="31">
        <v>1.1499999999999999</v>
      </c>
      <c r="N120" s="31">
        <v>1.22</v>
      </c>
      <c r="O120" s="31">
        <v>1.35</v>
      </c>
      <c r="P120" s="31">
        <v>1.3</v>
      </c>
      <c r="Q120" s="31">
        <v>1.0777000000000001</v>
      </c>
      <c r="R120" s="62">
        <f t="shared" si="34"/>
        <v>72851.467421187015</v>
      </c>
      <c r="S120" s="52">
        <f t="shared" si="42"/>
        <v>1602732.2832661143</v>
      </c>
      <c r="T120" s="52">
        <f t="shared" si="36"/>
        <v>66228.606746533638</v>
      </c>
      <c r="U120" s="52">
        <f t="shared" si="7"/>
        <v>64543.020427920193</v>
      </c>
    </row>
    <row r="121" spans="1:21" ht="37.5" customHeight="1" x14ac:dyDescent="0.2">
      <c r="A121" s="24" t="s">
        <v>884</v>
      </c>
      <c r="B121" s="24" t="s">
        <v>834</v>
      </c>
      <c r="C121" s="59"/>
      <c r="D121" s="24" t="s">
        <v>885</v>
      </c>
      <c r="E121" s="24" t="s">
        <v>581</v>
      </c>
      <c r="F121" s="24" t="s">
        <v>586</v>
      </c>
      <c r="G121" s="24" t="s">
        <v>654</v>
      </c>
      <c r="H121" s="27">
        <v>23</v>
      </c>
      <c r="I121" s="60" t="s">
        <v>876</v>
      </c>
      <c r="J121" s="31">
        <v>3.133</v>
      </c>
      <c r="K121" s="61">
        <f>0.666+J121*5+(3.85+J121*5)*2+(3.85+J121*4)</f>
        <v>71.743000000000009</v>
      </c>
      <c r="L121" s="52">
        <v>90383</v>
      </c>
      <c r="M121" s="31"/>
      <c r="N121" s="31">
        <v>1.22</v>
      </c>
      <c r="O121" s="31">
        <v>1.35</v>
      </c>
      <c r="P121" s="31">
        <v>1.3</v>
      </c>
      <c r="Q121" s="31"/>
      <c r="R121" s="62">
        <f t="shared" si="34"/>
        <v>193519.04130000001</v>
      </c>
      <c r="S121" s="52">
        <f>R121*23</f>
        <v>4450937.9499000004</v>
      </c>
      <c r="T121" s="52">
        <f t="shared" si="36"/>
        <v>61767.967219917016</v>
      </c>
      <c r="U121" s="52">
        <f t="shared" si="7"/>
        <v>62040.031081778012</v>
      </c>
    </row>
    <row r="122" spans="1:21" ht="37.5" customHeight="1" x14ac:dyDescent="0.2">
      <c r="A122" s="24" t="s">
        <v>886</v>
      </c>
      <c r="B122" s="24" t="s">
        <v>834</v>
      </c>
      <c r="C122" s="59"/>
      <c r="D122" s="24" t="s">
        <v>887</v>
      </c>
      <c r="E122" s="24" t="s">
        <v>642</v>
      </c>
      <c r="F122" s="24" t="s">
        <v>586</v>
      </c>
      <c r="G122" s="24" t="s">
        <v>654</v>
      </c>
      <c r="H122" s="27">
        <v>22</v>
      </c>
      <c r="I122" s="60" t="s">
        <v>852</v>
      </c>
      <c r="J122" s="31">
        <v>1.2330000000000001</v>
      </c>
      <c r="K122" s="61">
        <f>0.666+J122*5+(1.65+J122*5)*2+(1.65+J122*3)</f>
        <v>27.810000000000006</v>
      </c>
      <c r="L122" s="52">
        <f>4068*7</f>
        <v>28476</v>
      </c>
      <c r="M122" s="31">
        <v>1.1499999999999999</v>
      </c>
      <c r="N122" s="31">
        <v>1.22</v>
      </c>
      <c r="O122" s="31">
        <v>1.35</v>
      </c>
      <c r="P122" s="31">
        <v>1.3</v>
      </c>
      <c r="Q122" s="31">
        <v>1.0777000000000001</v>
      </c>
      <c r="R122" s="62">
        <f t="shared" si="34"/>
        <v>75563.429237478005</v>
      </c>
      <c r="S122" s="52">
        <f t="shared" ref="S122:S124" si="43">R122*H122</f>
        <v>1662395.4432245162</v>
      </c>
      <c r="T122" s="52">
        <f t="shared" si="36"/>
        <v>61284.20862731387</v>
      </c>
      <c r="U122" s="52">
        <f t="shared" si="7"/>
        <v>59776.8947581631</v>
      </c>
    </row>
    <row r="123" spans="1:21" ht="37.5" customHeight="1" x14ac:dyDescent="0.2">
      <c r="A123" s="24" t="s">
        <v>888</v>
      </c>
      <c r="B123" s="24" t="s">
        <v>670</v>
      </c>
      <c r="C123" s="59"/>
      <c r="D123" s="24"/>
      <c r="E123" s="24" t="s">
        <v>642</v>
      </c>
      <c r="F123" s="24" t="s">
        <v>586</v>
      </c>
      <c r="G123" s="24" t="s">
        <v>654</v>
      </c>
      <c r="H123" s="27">
        <v>21</v>
      </c>
      <c r="I123" s="60" t="s">
        <v>644</v>
      </c>
      <c r="J123" s="31">
        <v>1.583</v>
      </c>
      <c r="K123" s="61">
        <f>J123*20</f>
        <v>31.66</v>
      </c>
      <c r="L123" s="52">
        <v>28588</v>
      </c>
      <c r="M123" s="31">
        <v>1.1499999999999999</v>
      </c>
      <c r="N123" s="31">
        <v>1.22</v>
      </c>
      <c r="O123" s="31">
        <v>1.35</v>
      </c>
      <c r="P123" s="31">
        <v>1.3</v>
      </c>
      <c r="Q123" s="31">
        <v>1.0777000000000001</v>
      </c>
      <c r="R123" s="62">
        <f t="shared" si="34"/>
        <v>75860.630532413998</v>
      </c>
      <c r="S123" s="52">
        <f t="shared" si="43"/>
        <v>1593073.241180694</v>
      </c>
      <c r="T123" s="52">
        <f t="shared" si="36"/>
        <v>47922.066034373973</v>
      </c>
      <c r="U123" s="52">
        <f t="shared" si="7"/>
        <v>50318.169336092673</v>
      </c>
    </row>
    <row r="124" spans="1:21" ht="37.5" customHeight="1" x14ac:dyDescent="0.2">
      <c r="A124" s="24" t="s">
        <v>889</v>
      </c>
      <c r="B124" s="24" t="s">
        <v>670</v>
      </c>
      <c r="C124" s="59"/>
      <c r="D124" s="24"/>
      <c r="E124" s="24" t="s">
        <v>581</v>
      </c>
      <c r="F124" s="24" t="s">
        <v>586</v>
      </c>
      <c r="G124" s="24" t="s">
        <v>654</v>
      </c>
      <c r="H124" s="27">
        <v>33</v>
      </c>
      <c r="I124" s="60" t="s">
        <v>890</v>
      </c>
      <c r="J124" s="31">
        <v>0.75</v>
      </c>
      <c r="K124" s="61">
        <f>J124*32</f>
        <v>24</v>
      </c>
      <c r="L124" s="52">
        <v>15873</v>
      </c>
      <c r="M124" s="31"/>
      <c r="N124" s="31">
        <v>1.22</v>
      </c>
      <c r="O124" s="31">
        <v>1.35</v>
      </c>
      <c r="P124" s="31">
        <v>1.3</v>
      </c>
      <c r="Q124" s="31"/>
      <c r="R124" s="62">
        <f t="shared" si="34"/>
        <v>33985.680300000007</v>
      </c>
      <c r="S124" s="52">
        <f t="shared" si="43"/>
        <v>1121527.4499000004</v>
      </c>
      <c r="T124" s="52">
        <f t="shared" si="36"/>
        <v>45314.24040000001</v>
      </c>
      <c r="U124" s="52">
        <f t="shared" si="7"/>
        <v>46730.310412500017</v>
      </c>
    </row>
    <row r="125" spans="1:21" ht="37.5" customHeight="1" x14ac:dyDescent="0.2">
      <c r="A125" s="24" t="s">
        <v>891</v>
      </c>
      <c r="B125" s="24" t="s">
        <v>670</v>
      </c>
      <c r="C125" s="59"/>
      <c r="D125" s="24" t="s">
        <v>892</v>
      </c>
      <c r="E125" s="24" t="s">
        <v>642</v>
      </c>
      <c r="F125" s="24" t="s">
        <v>586</v>
      </c>
      <c r="G125" s="24" t="s">
        <v>654</v>
      </c>
      <c r="H125" s="27">
        <v>601</v>
      </c>
      <c r="I125" s="60" t="s">
        <v>705</v>
      </c>
      <c r="J125" s="31">
        <v>6.4660000000000002</v>
      </c>
      <c r="K125" s="61">
        <f>J125+7.3*5+J125*0.132</f>
        <v>43.819512000000003</v>
      </c>
      <c r="L125" s="52">
        <v>1074</v>
      </c>
      <c r="M125" s="31">
        <v>1.1499999999999999</v>
      </c>
      <c r="N125" s="31">
        <v>1.22</v>
      </c>
      <c r="O125" s="31">
        <v>1.35</v>
      </c>
      <c r="P125" s="31">
        <v>1.3</v>
      </c>
      <c r="Q125" s="31">
        <v>1.0777000000000001</v>
      </c>
      <c r="R125" s="62">
        <f>98*PRODUCT(L125:Q125)</f>
        <v>279294.91691610601</v>
      </c>
      <c r="S125" s="52">
        <f>R125*601/98</f>
        <v>1712818.827209997</v>
      </c>
      <c r="T125" s="52">
        <f t="shared" si="36"/>
        <v>43194.388635339623</v>
      </c>
      <c r="U125" s="52">
        <f t="shared" si="7"/>
        <v>39088.039757494262</v>
      </c>
    </row>
    <row r="126" spans="1:21" ht="37.5" customHeight="1" x14ac:dyDescent="0.2">
      <c r="A126" s="24" t="s">
        <v>893</v>
      </c>
      <c r="B126" s="24" t="s">
        <v>646</v>
      </c>
      <c r="C126" s="59"/>
      <c r="D126" s="24"/>
      <c r="E126" s="24" t="s">
        <v>593</v>
      </c>
      <c r="F126" s="24" t="s">
        <v>593</v>
      </c>
      <c r="G126" s="24" t="s">
        <v>205</v>
      </c>
      <c r="H126" s="27" t="s">
        <v>647</v>
      </c>
      <c r="I126" s="60" t="s">
        <v>593</v>
      </c>
      <c r="J126" s="31">
        <v>2.0659999999999998</v>
      </c>
      <c r="K126" s="61" t="s">
        <v>647</v>
      </c>
      <c r="L126" s="52">
        <v>58215</v>
      </c>
      <c r="M126" s="31"/>
      <c r="N126" s="31"/>
      <c r="O126" s="31"/>
      <c r="P126" s="31">
        <v>1.3</v>
      </c>
      <c r="Q126" s="31"/>
      <c r="R126" s="62">
        <f t="shared" ref="R126:R135" si="44">PRODUCT(L126:Q126)</f>
        <v>75679.5</v>
      </c>
      <c r="S126" s="52" t="s">
        <v>647</v>
      </c>
      <c r="T126" s="52">
        <f t="shared" si="36"/>
        <v>36630.9293320426</v>
      </c>
      <c r="U126" s="52">
        <f t="shared" si="7"/>
        <v>36630.9293320426</v>
      </c>
    </row>
    <row r="127" spans="1:21" ht="37.5" customHeight="1" x14ac:dyDescent="0.2">
      <c r="A127" s="24" t="s">
        <v>894</v>
      </c>
      <c r="B127" s="24" t="s">
        <v>670</v>
      </c>
      <c r="C127" s="59"/>
      <c r="D127" s="24"/>
      <c r="E127" s="24" t="s">
        <v>581</v>
      </c>
      <c r="F127" s="24" t="s">
        <v>643</v>
      </c>
      <c r="G127" s="24" t="s">
        <v>587</v>
      </c>
      <c r="H127" s="27">
        <v>19</v>
      </c>
      <c r="I127" s="60" t="s">
        <v>680</v>
      </c>
      <c r="J127" s="31">
        <v>10.050000000000001</v>
      </c>
      <c r="K127" s="61">
        <f>J127*10</f>
        <v>100.5</v>
      </c>
      <c r="L127" s="52">
        <v>175002</v>
      </c>
      <c r="M127" s="31"/>
      <c r="N127" s="31">
        <v>1.22</v>
      </c>
      <c r="O127" s="31">
        <v>1.35</v>
      </c>
      <c r="P127" s="31">
        <v>1.3</v>
      </c>
      <c r="Q127" s="31"/>
      <c r="R127" s="62">
        <f t="shared" si="44"/>
        <v>374696.78220000002</v>
      </c>
      <c r="S127" s="52">
        <f>R127*9.5</f>
        <v>3559619.4309</v>
      </c>
      <c r="T127" s="52">
        <f t="shared" si="36"/>
        <v>37283.261910447764</v>
      </c>
      <c r="U127" s="52">
        <f t="shared" si="7"/>
        <v>35419.098814925375</v>
      </c>
    </row>
    <row r="128" spans="1:21" ht="37.5" customHeight="1" x14ac:dyDescent="0.2">
      <c r="A128" s="24" t="s">
        <v>895</v>
      </c>
      <c r="B128" s="24" t="s">
        <v>670</v>
      </c>
      <c r="C128" s="59"/>
      <c r="D128" s="24"/>
      <c r="E128" s="24" t="s">
        <v>581</v>
      </c>
      <c r="F128" s="24" t="s">
        <v>586</v>
      </c>
      <c r="G128" s="24" t="s">
        <v>654</v>
      </c>
      <c r="H128" s="27">
        <v>564</v>
      </c>
      <c r="I128" s="60" t="s">
        <v>896</v>
      </c>
      <c r="J128" s="31">
        <v>37.582999999999998</v>
      </c>
      <c r="K128" s="61" t="s">
        <v>593</v>
      </c>
      <c r="L128" s="52">
        <v>892</v>
      </c>
      <c r="M128" s="31"/>
      <c r="N128" s="31">
        <v>1.22</v>
      </c>
      <c r="O128" s="31">
        <v>1.35</v>
      </c>
      <c r="P128" s="31">
        <v>1.3</v>
      </c>
      <c r="Q128" s="31"/>
      <c r="R128" s="62">
        <f t="shared" si="44"/>
        <v>1909.8612000000001</v>
      </c>
      <c r="S128" s="52">
        <f t="shared" ref="S128:S131" si="45">R128*H128</f>
        <v>1077161.7168000001</v>
      </c>
      <c r="T128" s="52">
        <f>S128/J128</f>
        <v>28660.876374956766</v>
      </c>
      <c r="U128" s="52">
        <f t="shared" si="7"/>
        <v>28660.876374956766</v>
      </c>
    </row>
    <row r="129" spans="1:21" ht="37.5" customHeight="1" x14ac:dyDescent="0.2">
      <c r="A129" s="24" t="s">
        <v>897</v>
      </c>
      <c r="B129" s="24" t="s">
        <v>670</v>
      </c>
      <c r="C129" s="59"/>
      <c r="D129" s="24"/>
      <c r="E129" s="24" t="s">
        <v>581</v>
      </c>
      <c r="F129" s="24" t="s">
        <v>583</v>
      </c>
      <c r="G129" s="24" t="s">
        <v>654</v>
      </c>
      <c r="H129" s="27">
        <v>23</v>
      </c>
      <c r="I129" s="60" t="s">
        <v>644</v>
      </c>
      <c r="J129" s="31">
        <v>4.6500000000000004</v>
      </c>
      <c r="K129" s="61">
        <f t="shared" ref="K129:K130" si="46">J129*23</f>
        <v>106.95</v>
      </c>
      <c r="L129" s="52">
        <v>43078</v>
      </c>
      <c r="M129" s="31"/>
      <c r="N129" s="31">
        <v>1.22</v>
      </c>
      <c r="O129" s="31">
        <v>1.35</v>
      </c>
      <c r="P129" s="31">
        <v>1.3</v>
      </c>
      <c r="Q129" s="31"/>
      <c r="R129" s="62">
        <f t="shared" si="44"/>
        <v>92234.305800000002</v>
      </c>
      <c r="S129" s="52">
        <f t="shared" si="45"/>
        <v>2121389.0334000001</v>
      </c>
      <c r="T129" s="52">
        <f t="shared" ref="T129:T130" si="47">R129/J129</f>
        <v>19835.334580645162</v>
      </c>
      <c r="U129" s="52">
        <f t="shared" si="7"/>
        <v>19835.334580645162</v>
      </c>
    </row>
    <row r="130" spans="1:21" ht="37.5" customHeight="1" x14ac:dyDescent="0.2">
      <c r="A130" s="24" t="s">
        <v>898</v>
      </c>
      <c r="B130" s="24" t="s">
        <v>670</v>
      </c>
      <c r="C130" s="59"/>
      <c r="D130" s="24"/>
      <c r="E130" s="24" t="s">
        <v>581</v>
      </c>
      <c r="F130" s="24" t="s">
        <v>583</v>
      </c>
      <c r="G130" s="24" t="s">
        <v>654</v>
      </c>
      <c r="H130" s="27">
        <v>23</v>
      </c>
      <c r="I130" s="60" t="s">
        <v>644</v>
      </c>
      <c r="J130" s="31">
        <v>9.7829999999999995</v>
      </c>
      <c r="K130" s="61">
        <f t="shared" si="46"/>
        <v>225.00899999999999</v>
      </c>
      <c r="L130" s="52">
        <v>87799</v>
      </c>
      <c r="M130" s="31"/>
      <c r="N130" s="31">
        <v>1.22</v>
      </c>
      <c r="O130" s="31">
        <v>1.35</v>
      </c>
      <c r="P130" s="31">
        <v>1.3</v>
      </c>
      <c r="Q130" s="31"/>
      <c r="R130" s="62">
        <f t="shared" si="44"/>
        <v>187986.43890000001</v>
      </c>
      <c r="S130" s="52">
        <f t="shared" si="45"/>
        <v>4323688.0947000002</v>
      </c>
      <c r="T130" s="52">
        <f t="shared" si="47"/>
        <v>19215.622907083718</v>
      </c>
      <c r="U130" s="52">
        <f t="shared" si="7"/>
        <v>19215.622907083718</v>
      </c>
    </row>
    <row r="131" spans="1:21" ht="37.5" customHeight="1" x14ac:dyDescent="0.2">
      <c r="A131" s="24" t="s">
        <v>899</v>
      </c>
      <c r="B131" s="24" t="s">
        <v>670</v>
      </c>
      <c r="C131" s="59"/>
      <c r="D131" s="24"/>
      <c r="E131" s="24" t="s">
        <v>581</v>
      </c>
      <c r="F131" s="24" t="s">
        <v>586</v>
      </c>
      <c r="G131" s="24" t="s">
        <v>654</v>
      </c>
      <c r="H131" s="27">
        <v>564</v>
      </c>
      <c r="I131" s="60" t="s">
        <v>896</v>
      </c>
      <c r="J131" s="31">
        <v>94.5</v>
      </c>
      <c r="K131" s="61" t="s">
        <v>593</v>
      </c>
      <c r="L131" s="52">
        <v>1449</v>
      </c>
      <c r="M131" s="31"/>
      <c r="N131" s="31">
        <v>1.22</v>
      </c>
      <c r="O131" s="31">
        <v>1.35</v>
      </c>
      <c r="P131" s="31">
        <v>1.3</v>
      </c>
      <c r="Q131" s="31"/>
      <c r="R131" s="62">
        <f t="shared" si="44"/>
        <v>3102.4539000000004</v>
      </c>
      <c r="S131" s="52">
        <f t="shared" si="45"/>
        <v>1749783.9996000002</v>
      </c>
      <c r="T131" s="52">
        <f>S131/J131</f>
        <v>18516.232800000002</v>
      </c>
      <c r="U131" s="52">
        <f t="shared" si="7"/>
        <v>18516.232800000002</v>
      </c>
    </row>
    <row r="132" spans="1:21" ht="37.5" customHeight="1" x14ac:dyDescent="0.2">
      <c r="A132" s="24" t="s">
        <v>900</v>
      </c>
      <c r="B132" s="24" t="s">
        <v>646</v>
      </c>
      <c r="C132" s="59"/>
      <c r="D132" s="24"/>
      <c r="E132" s="24" t="s">
        <v>593</v>
      </c>
      <c r="F132" s="24" t="s">
        <v>593</v>
      </c>
      <c r="G132" s="24" t="s">
        <v>205</v>
      </c>
      <c r="H132" s="27" t="s">
        <v>647</v>
      </c>
      <c r="I132" s="60" t="s">
        <v>593</v>
      </c>
      <c r="J132" s="31">
        <v>1.35</v>
      </c>
      <c r="K132" s="61" t="s">
        <v>647</v>
      </c>
      <c r="L132" s="52">
        <v>10725</v>
      </c>
      <c r="M132" s="31"/>
      <c r="N132" s="31"/>
      <c r="O132" s="31"/>
      <c r="P132" s="31">
        <v>1.3</v>
      </c>
      <c r="Q132" s="31"/>
      <c r="R132" s="62">
        <f t="shared" si="44"/>
        <v>13942.5</v>
      </c>
      <c r="S132" s="52" t="s">
        <v>647</v>
      </c>
      <c r="T132" s="52">
        <f t="shared" ref="T132:T135" si="48">R132/J132</f>
        <v>10327.777777777777</v>
      </c>
      <c r="U132" s="52">
        <f t="shared" si="7"/>
        <v>10327.777777777777</v>
      </c>
    </row>
    <row r="133" spans="1:21" ht="37.5" customHeight="1" x14ac:dyDescent="0.2">
      <c r="A133" s="24" t="s">
        <v>901</v>
      </c>
      <c r="B133" s="24" t="s">
        <v>646</v>
      </c>
      <c r="C133" s="59"/>
      <c r="D133" s="24"/>
      <c r="E133" s="24" t="s">
        <v>593</v>
      </c>
      <c r="F133" s="24" t="s">
        <v>593</v>
      </c>
      <c r="G133" s="24" t="s">
        <v>205</v>
      </c>
      <c r="H133" s="27" t="s">
        <v>647</v>
      </c>
      <c r="I133" s="60" t="s">
        <v>593</v>
      </c>
      <c r="J133" s="31">
        <v>1</v>
      </c>
      <c r="K133" s="61" t="s">
        <v>593</v>
      </c>
      <c r="L133" s="52">
        <v>3908</v>
      </c>
      <c r="M133" s="31"/>
      <c r="N133" s="31"/>
      <c r="O133" s="31"/>
      <c r="P133" s="31">
        <v>1.3</v>
      </c>
      <c r="Q133" s="31"/>
      <c r="R133" s="62">
        <f t="shared" si="44"/>
        <v>5080.4000000000005</v>
      </c>
      <c r="S133" s="52" t="s">
        <v>647</v>
      </c>
      <c r="T133" s="52">
        <f t="shared" si="48"/>
        <v>5080.4000000000005</v>
      </c>
      <c r="U133" s="52">
        <f t="shared" si="7"/>
        <v>5080.4000000000005</v>
      </c>
    </row>
    <row r="134" spans="1:21" ht="37.5" customHeight="1" x14ac:dyDescent="0.2">
      <c r="A134" s="24" t="s">
        <v>902</v>
      </c>
      <c r="B134" s="24" t="s">
        <v>646</v>
      </c>
      <c r="C134" s="59"/>
      <c r="D134" s="24"/>
      <c r="E134" s="24" t="s">
        <v>593</v>
      </c>
      <c r="F134" s="24" t="s">
        <v>593</v>
      </c>
      <c r="G134" s="24" t="s">
        <v>205</v>
      </c>
      <c r="H134" s="27" t="s">
        <v>647</v>
      </c>
      <c r="I134" s="60" t="s">
        <v>593</v>
      </c>
      <c r="J134" s="31">
        <v>1.833</v>
      </c>
      <c r="K134" s="61" t="s">
        <v>647</v>
      </c>
      <c r="L134" s="52">
        <v>6435</v>
      </c>
      <c r="M134" s="31"/>
      <c r="N134" s="31"/>
      <c r="O134" s="31"/>
      <c r="P134" s="31">
        <v>1.3</v>
      </c>
      <c r="Q134" s="31"/>
      <c r="R134" s="62">
        <f t="shared" si="44"/>
        <v>8365.5</v>
      </c>
      <c r="S134" s="52" t="s">
        <v>647</v>
      </c>
      <c r="T134" s="52">
        <f t="shared" si="48"/>
        <v>4563.8297872340427</v>
      </c>
      <c r="U134" s="52">
        <f t="shared" si="7"/>
        <v>4563.8297872340427</v>
      </c>
    </row>
    <row r="135" spans="1:21" ht="37.5" customHeight="1" x14ac:dyDescent="0.2">
      <c r="A135" s="24" t="s">
        <v>903</v>
      </c>
      <c r="B135" s="24" t="s">
        <v>646</v>
      </c>
      <c r="C135" s="59"/>
      <c r="D135" s="24"/>
      <c r="E135" s="24" t="s">
        <v>593</v>
      </c>
      <c r="F135" s="24" t="s">
        <v>593</v>
      </c>
      <c r="G135" s="24" t="s">
        <v>205</v>
      </c>
      <c r="H135" s="27" t="s">
        <v>647</v>
      </c>
      <c r="I135" s="60" t="s">
        <v>593</v>
      </c>
      <c r="J135" s="31">
        <v>1.617</v>
      </c>
      <c r="K135" s="61" t="s">
        <v>647</v>
      </c>
      <c r="L135" s="52">
        <f>1529*2</f>
        <v>3058</v>
      </c>
      <c r="M135" s="31"/>
      <c r="N135" s="31"/>
      <c r="O135" s="31"/>
      <c r="P135" s="31">
        <v>1.3</v>
      </c>
      <c r="Q135" s="31"/>
      <c r="R135" s="62">
        <f t="shared" si="44"/>
        <v>3975.4</v>
      </c>
      <c r="S135" s="52" t="s">
        <v>647</v>
      </c>
      <c r="T135" s="52">
        <f t="shared" si="48"/>
        <v>2458.5034013605441</v>
      </c>
      <c r="U135" s="52">
        <f t="shared" si="7"/>
        <v>2458.5034013605441</v>
      </c>
    </row>
    <row r="136" spans="1:21" ht="37.5" customHeight="1" x14ac:dyDescent="0.2">
      <c r="A136" s="24" t="s">
        <v>904</v>
      </c>
      <c r="B136" s="24" t="s">
        <v>905</v>
      </c>
      <c r="C136" s="59"/>
      <c r="D136" s="24"/>
      <c r="E136" s="24" t="s">
        <v>593</v>
      </c>
      <c r="F136" s="24" t="s">
        <v>593</v>
      </c>
      <c r="G136" s="24" t="s">
        <v>593</v>
      </c>
      <c r="H136" s="27" t="s">
        <v>593</v>
      </c>
      <c r="I136" s="60" t="s">
        <v>593</v>
      </c>
      <c r="J136" s="31">
        <v>0.65</v>
      </c>
      <c r="K136" s="61" t="s">
        <v>593</v>
      </c>
      <c r="L136" s="52" t="s">
        <v>593</v>
      </c>
      <c r="M136" s="31"/>
      <c r="N136" s="31"/>
      <c r="O136" s="31"/>
      <c r="P136" s="31"/>
      <c r="Q136" s="31"/>
      <c r="R136" s="62"/>
      <c r="S136" s="52">
        <v>0</v>
      </c>
      <c r="T136" s="52">
        <v>0</v>
      </c>
      <c r="U136" s="52">
        <f t="shared" si="7"/>
        <v>0</v>
      </c>
    </row>
    <row r="137" spans="1:21" ht="37.5" customHeight="1" x14ac:dyDescent="0.2">
      <c r="A137" s="24" t="s">
        <v>906</v>
      </c>
      <c r="B137" s="24" t="s">
        <v>905</v>
      </c>
      <c r="C137" s="59"/>
      <c r="D137" s="24"/>
      <c r="E137" s="24" t="s">
        <v>593</v>
      </c>
      <c r="F137" s="24" t="s">
        <v>593</v>
      </c>
      <c r="G137" s="24" t="s">
        <v>593</v>
      </c>
      <c r="H137" s="27" t="s">
        <v>593</v>
      </c>
      <c r="I137" s="60" t="s">
        <v>593</v>
      </c>
      <c r="J137" s="31">
        <v>1.1830000000000001</v>
      </c>
      <c r="K137" s="61" t="s">
        <v>593</v>
      </c>
      <c r="L137" s="52" t="s">
        <v>593</v>
      </c>
      <c r="M137" s="31"/>
      <c r="N137" s="31"/>
      <c r="O137" s="31"/>
      <c r="P137" s="31"/>
      <c r="Q137" s="31"/>
      <c r="R137" s="62"/>
      <c r="S137" s="52">
        <v>0</v>
      </c>
      <c r="T137" s="52">
        <v>0</v>
      </c>
      <c r="U137" s="52">
        <f t="shared" si="7"/>
        <v>0</v>
      </c>
    </row>
    <row r="138" spans="1:21" ht="37.5" customHeight="1" x14ac:dyDescent="0.2">
      <c r="A138" s="24" t="s">
        <v>907</v>
      </c>
      <c r="B138" s="24" t="s">
        <v>905</v>
      </c>
      <c r="C138" s="59"/>
      <c r="D138" s="24"/>
      <c r="E138" s="24" t="s">
        <v>593</v>
      </c>
      <c r="F138" s="24" t="s">
        <v>593</v>
      </c>
      <c r="G138" s="24" t="s">
        <v>593</v>
      </c>
      <c r="H138" s="27" t="s">
        <v>593</v>
      </c>
      <c r="I138" s="60" t="s">
        <v>593</v>
      </c>
      <c r="J138" s="31">
        <v>0.78300000000000003</v>
      </c>
      <c r="K138" s="61" t="s">
        <v>593</v>
      </c>
      <c r="L138" s="52" t="s">
        <v>593</v>
      </c>
      <c r="M138" s="31"/>
      <c r="N138" s="31"/>
      <c r="O138" s="31"/>
      <c r="P138" s="31"/>
      <c r="Q138" s="31"/>
      <c r="R138" s="62"/>
      <c r="S138" s="52">
        <v>0</v>
      </c>
      <c r="T138" s="52">
        <v>0</v>
      </c>
      <c r="U138" s="52">
        <f t="shared" si="7"/>
        <v>0</v>
      </c>
    </row>
    <row r="139" spans="1:21" ht="37.5" customHeight="1" x14ac:dyDescent="0.2">
      <c r="A139" s="24" t="s">
        <v>908</v>
      </c>
      <c r="B139" s="24" t="s">
        <v>905</v>
      </c>
      <c r="C139" s="59"/>
      <c r="D139" s="24"/>
      <c r="E139" s="24" t="s">
        <v>593</v>
      </c>
      <c r="F139" s="24" t="s">
        <v>593</v>
      </c>
      <c r="G139" s="24" t="s">
        <v>593</v>
      </c>
      <c r="H139" s="27" t="s">
        <v>593</v>
      </c>
      <c r="I139" s="60" t="s">
        <v>593</v>
      </c>
      <c r="J139" s="31">
        <v>1.1160000000000001</v>
      </c>
      <c r="K139" s="61" t="s">
        <v>593</v>
      </c>
      <c r="L139" s="52" t="s">
        <v>593</v>
      </c>
      <c r="M139" s="31"/>
      <c r="N139" s="31"/>
      <c r="O139" s="31"/>
      <c r="P139" s="31"/>
      <c r="Q139" s="31"/>
      <c r="R139" s="62"/>
      <c r="S139" s="52">
        <v>0</v>
      </c>
      <c r="T139" s="52">
        <v>0</v>
      </c>
      <c r="U139" s="52">
        <f t="shared" si="7"/>
        <v>0</v>
      </c>
    </row>
    <row r="140" spans="1:21" ht="37.5" customHeight="1" x14ac:dyDescent="0.2">
      <c r="A140" s="24" t="s">
        <v>909</v>
      </c>
      <c r="B140" s="24" t="s">
        <v>905</v>
      </c>
      <c r="C140" s="59"/>
      <c r="D140" s="24"/>
      <c r="E140" s="24" t="s">
        <v>593</v>
      </c>
      <c r="F140" s="24" t="s">
        <v>593</v>
      </c>
      <c r="G140" s="24" t="s">
        <v>593</v>
      </c>
      <c r="H140" s="27" t="s">
        <v>647</v>
      </c>
      <c r="I140" s="60" t="s">
        <v>593</v>
      </c>
      <c r="J140" s="31">
        <v>0.95</v>
      </c>
      <c r="K140" s="61" t="s">
        <v>593</v>
      </c>
      <c r="L140" s="52" t="s">
        <v>593</v>
      </c>
      <c r="M140" s="31"/>
      <c r="N140" s="31"/>
      <c r="O140" s="31"/>
      <c r="P140" s="31"/>
      <c r="Q140" s="31"/>
      <c r="R140" s="62">
        <f>PRODUCT(L140:Q140)</f>
        <v>0</v>
      </c>
      <c r="S140" s="52">
        <v>0</v>
      </c>
      <c r="T140" s="52">
        <v>0</v>
      </c>
      <c r="U140" s="52">
        <f t="shared" si="7"/>
        <v>0</v>
      </c>
    </row>
  </sheetData>
  <autoFilter ref="A1:U140" xr:uid="{00000000-0009-0000-0000-000007000000}"/>
  <conditionalFormatting sqref="C2:C140 H2:I140 D97 A111:B113 D112:D116">
    <cfRule type="containsText" dxfId="19" priority="1" operator="containsText" text="!">
      <formula>NOT(ISERROR(SEARCH(("!"),(C2))))</formula>
    </cfRule>
  </conditionalFormatting>
  <conditionalFormatting sqref="S2:S140">
    <cfRule type="colorScale" priority="4">
      <colorScale>
        <cfvo type="min"/>
        <cfvo type="percentile" val="50"/>
        <cfvo type="max"/>
        <color rgb="FFE67C73"/>
        <color rgb="FFFFD666"/>
        <color rgb="FF57BB8A"/>
      </colorScale>
    </cfRule>
  </conditionalFormatting>
  <conditionalFormatting sqref="T2:T140">
    <cfRule type="colorScale" priority="2">
      <colorScale>
        <cfvo type="min"/>
        <cfvo type="percentile" val="50"/>
        <cfvo type="max"/>
        <color rgb="FFE67C73"/>
        <color rgb="FFFFD666"/>
        <color rgb="FF57BB8A"/>
      </colorScale>
    </cfRule>
  </conditionalFormatting>
  <conditionalFormatting sqref="U2:U140">
    <cfRule type="colorScale" priority="3">
      <colorScale>
        <cfvo type="min"/>
        <cfvo type="percentile" val="50"/>
        <cfvo type="max"/>
        <color rgb="FFE67C73"/>
        <color rgb="FFFFD666"/>
        <color rgb="FF57BB8A"/>
      </colorScale>
    </cfRule>
  </conditionalFormatting>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FFFF00"/>
    <outlinePr summaryBelow="0" summaryRight="0"/>
  </sheetPr>
  <dimension ref="A1:I38"/>
  <sheetViews>
    <sheetView workbookViewId="0">
      <pane ySplit="1" topLeftCell="A2" activePane="bottomLeft" state="frozen"/>
      <selection pane="bottomLeft" activeCell="B3" sqref="B3"/>
    </sheetView>
  </sheetViews>
  <sheetFormatPr defaultColWidth="12.5703125" defaultRowHeight="15.75" customHeight="1" x14ac:dyDescent="0.2"/>
  <cols>
    <col min="1" max="1" width="26.85546875" customWidth="1"/>
    <col min="2" max="6" width="5.140625" customWidth="1"/>
    <col min="7" max="7" width="7.5703125" customWidth="1"/>
    <col min="8" max="8" width="8.5703125" customWidth="1"/>
    <col min="9" max="9" width="7.5703125" customWidth="1"/>
  </cols>
  <sheetData>
    <row r="1" spans="1:9" ht="30" customHeight="1" x14ac:dyDescent="0.2">
      <c r="A1" s="28" t="s">
        <v>910</v>
      </c>
      <c r="B1" s="28" t="s">
        <v>581</v>
      </c>
      <c r="C1" s="28" t="s">
        <v>537</v>
      </c>
      <c r="D1" s="28" t="s">
        <v>583</v>
      </c>
      <c r="E1" s="28" t="s">
        <v>586</v>
      </c>
      <c r="F1" s="28" t="s">
        <v>587</v>
      </c>
      <c r="G1" s="28" t="s">
        <v>589</v>
      </c>
      <c r="H1" s="28" t="s">
        <v>588</v>
      </c>
      <c r="I1" s="28" t="s">
        <v>590</v>
      </c>
    </row>
    <row r="2" spans="1:9" ht="30" customHeight="1" x14ac:dyDescent="0.2">
      <c r="A2" s="24" t="s">
        <v>911</v>
      </c>
      <c r="B2" s="27"/>
      <c r="C2" s="27"/>
      <c r="D2" s="27"/>
      <c r="E2" s="27"/>
      <c r="F2" s="27"/>
      <c r="G2" s="53">
        <v>7.6660000000000004</v>
      </c>
      <c r="H2" s="52">
        <v>2268893</v>
      </c>
      <c r="I2" s="52">
        <f t="shared" ref="I2:I38" si="0">H2/G2</f>
        <v>295968.30159144272</v>
      </c>
    </row>
    <row r="3" spans="1:9" ht="30" customHeight="1" x14ac:dyDescent="0.2">
      <c r="A3" s="24" t="s">
        <v>912</v>
      </c>
      <c r="B3" s="27"/>
      <c r="C3" s="27"/>
      <c r="D3" s="27"/>
      <c r="E3" s="24"/>
      <c r="F3" s="27"/>
      <c r="G3" s="53">
        <v>16.763000000000002</v>
      </c>
      <c r="H3" s="52">
        <v>4222732</v>
      </c>
      <c r="I3" s="52">
        <f t="shared" si="0"/>
        <v>251907.89238203183</v>
      </c>
    </row>
    <row r="4" spans="1:9" ht="30" customHeight="1" x14ac:dyDescent="0.2">
      <c r="A4" s="24" t="s">
        <v>234</v>
      </c>
      <c r="B4" s="27"/>
      <c r="C4" s="27"/>
      <c r="D4" s="27"/>
      <c r="E4" s="27"/>
      <c r="F4" s="27"/>
      <c r="G4" s="53">
        <v>8.0660000000000007</v>
      </c>
      <c r="H4" s="52">
        <v>1923713</v>
      </c>
      <c r="I4" s="52">
        <f t="shared" si="0"/>
        <v>238496.52863873047</v>
      </c>
    </row>
    <row r="5" spans="1:9" ht="30" customHeight="1" x14ac:dyDescent="0.2">
      <c r="A5" s="24" t="s">
        <v>913</v>
      </c>
      <c r="B5" s="27"/>
      <c r="C5" s="27"/>
      <c r="D5" s="27"/>
      <c r="E5" s="27"/>
      <c r="F5" s="27"/>
      <c r="G5" s="53">
        <v>12.574</v>
      </c>
      <c r="H5" s="52">
        <v>2989832</v>
      </c>
      <c r="I5" s="52">
        <f t="shared" si="0"/>
        <v>237778.90885955145</v>
      </c>
    </row>
    <row r="6" spans="1:9" ht="30" customHeight="1" x14ac:dyDescent="0.2">
      <c r="A6" s="24" t="s">
        <v>914</v>
      </c>
      <c r="B6" s="27"/>
      <c r="C6" s="27"/>
      <c r="D6" s="27"/>
      <c r="E6" s="27"/>
      <c r="F6" s="27"/>
      <c r="G6" s="53">
        <v>20.298999999999999</v>
      </c>
      <c r="H6" s="52">
        <v>4620601</v>
      </c>
      <c r="I6" s="52">
        <f t="shared" si="0"/>
        <v>227627.02596187004</v>
      </c>
    </row>
    <row r="7" spans="1:9" ht="30" customHeight="1" x14ac:dyDescent="0.2">
      <c r="A7" s="24" t="s">
        <v>915</v>
      </c>
      <c r="B7" s="27"/>
      <c r="C7" s="27"/>
      <c r="D7" s="27"/>
      <c r="E7" s="24"/>
      <c r="F7" s="27"/>
      <c r="G7" s="53">
        <v>16.062999999999999</v>
      </c>
      <c r="H7" s="52">
        <v>3583026</v>
      </c>
      <c r="I7" s="52">
        <f t="shared" si="0"/>
        <v>223060.82300940051</v>
      </c>
    </row>
    <row r="8" spans="1:9" ht="30" customHeight="1" x14ac:dyDescent="0.2">
      <c r="A8" s="24" t="s">
        <v>916</v>
      </c>
      <c r="B8" s="27"/>
      <c r="C8" s="27"/>
      <c r="D8" s="27"/>
      <c r="E8" s="24"/>
      <c r="F8" s="27"/>
      <c r="G8" s="53">
        <v>18.524999999999999</v>
      </c>
      <c r="H8" s="52">
        <v>4092894</v>
      </c>
      <c r="I8" s="52">
        <f t="shared" si="0"/>
        <v>220938.94736842107</v>
      </c>
    </row>
    <row r="9" spans="1:9" ht="30" customHeight="1" x14ac:dyDescent="0.2">
      <c r="A9" s="24" t="s">
        <v>917</v>
      </c>
      <c r="B9" s="27"/>
      <c r="C9" s="27"/>
      <c r="D9" s="27"/>
      <c r="E9" s="27"/>
      <c r="F9" s="27"/>
      <c r="G9" s="53">
        <v>18.835999999999999</v>
      </c>
      <c r="H9" s="52">
        <v>3967374</v>
      </c>
      <c r="I9" s="52">
        <f t="shared" si="0"/>
        <v>210627.20322786155</v>
      </c>
    </row>
    <row r="10" spans="1:9" ht="30" customHeight="1" x14ac:dyDescent="0.2">
      <c r="A10" s="24" t="s">
        <v>918</v>
      </c>
      <c r="B10" s="27"/>
      <c r="C10" s="27"/>
      <c r="D10" s="27"/>
      <c r="E10" s="27"/>
      <c r="F10" s="27"/>
      <c r="G10" s="53">
        <v>18.321000000000002</v>
      </c>
      <c r="H10" s="52">
        <v>3802988</v>
      </c>
      <c r="I10" s="52">
        <f t="shared" si="0"/>
        <v>207575.35069046449</v>
      </c>
    </row>
    <row r="11" spans="1:9" ht="30" customHeight="1" x14ac:dyDescent="0.2">
      <c r="A11" s="24" t="s">
        <v>611</v>
      </c>
      <c r="B11" s="27"/>
      <c r="C11" s="27"/>
      <c r="D11" s="27"/>
      <c r="E11" s="27"/>
      <c r="F11" s="27"/>
      <c r="G11" s="53">
        <v>20.177</v>
      </c>
      <c r="H11" s="52">
        <v>4137123</v>
      </c>
      <c r="I11" s="52">
        <f t="shared" si="0"/>
        <v>205041.53243792438</v>
      </c>
    </row>
    <row r="12" spans="1:9" ht="30" customHeight="1" x14ac:dyDescent="0.2">
      <c r="A12" s="24" t="s">
        <v>919</v>
      </c>
      <c r="B12" s="27"/>
      <c r="C12" s="27"/>
      <c r="D12" s="27"/>
      <c r="E12" s="27"/>
      <c r="F12" s="27"/>
      <c r="G12" s="53">
        <v>13.206</v>
      </c>
      <c r="H12" s="52">
        <v>2672402</v>
      </c>
      <c r="I12" s="52">
        <f t="shared" si="0"/>
        <v>202362.71391791612</v>
      </c>
    </row>
    <row r="13" spans="1:9" ht="30" customHeight="1" x14ac:dyDescent="0.2">
      <c r="A13" s="24" t="s">
        <v>920</v>
      </c>
      <c r="B13" s="27"/>
      <c r="C13" s="27"/>
      <c r="D13" s="27"/>
      <c r="E13" s="27"/>
      <c r="F13" s="27"/>
      <c r="G13" s="53">
        <v>19.050999999999998</v>
      </c>
      <c r="H13" s="52">
        <v>3826511</v>
      </c>
      <c r="I13" s="52">
        <f t="shared" si="0"/>
        <v>200856.17552884365</v>
      </c>
    </row>
    <row r="14" spans="1:9" ht="30" customHeight="1" x14ac:dyDescent="0.2">
      <c r="A14" s="24" t="s">
        <v>921</v>
      </c>
      <c r="B14" s="27"/>
      <c r="C14" s="27"/>
      <c r="D14" s="27"/>
      <c r="E14" s="24"/>
      <c r="F14" s="27"/>
      <c r="G14" s="53">
        <v>18.524999999999999</v>
      </c>
      <c r="H14" s="52">
        <v>3553182</v>
      </c>
      <c r="I14" s="52">
        <f t="shared" si="0"/>
        <v>191804.69635627532</v>
      </c>
    </row>
    <row r="15" spans="1:9" ht="30" customHeight="1" x14ac:dyDescent="0.2">
      <c r="A15" s="24" t="s">
        <v>922</v>
      </c>
      <c r="B15" s="27"/>
      <c r="C15" s="27"/>
      <c r="D15" s="27"/>
      <c r="E15" s="27"/>
      <c r="F15" s="27"/>
      <c r="G15" s="53">
        <v>25.463000000000001</v>
      </c>
      <c r="H15" s="52">
        <v>4777451</v>
      </c>
      <c r="I15" s="52">
        <f t="shared" si="0"/>
        <v>187623.25727526215</v>
      </c>
    </row>
    <row r="16" spans="1:9" ht="30" customHeight="1" x14ac:dyDescent="0.2">
      <c r="A16" s="24" t="s">
        <v>923</v>
      </c>
      <c r="B16" s="27"/>
      <c r="C16" s="27"/>
      <c r="D16" s="27"/>
      <c r="E16" s="27"/>
      <c r="F16" s="27"/>
      <c r="G16" s="53">
        <v>18.742999999999999</v>
      </c>
      <c r="H16" s="52">
        <v>3434563</v>
      </c>
      <c r="I16" s="52">
        <f t="shared" si="0"/>
        <v>183245.10483913997</v>
      </c>
    </row>
    <row r="17" spans="1:9" ht="30" customHeight="1" x14ac:dyDescent="0.2">
      <c r="A17" s="24" t="s">
        <v>924</v>
      </c>
      <c r="B17" s="27"/>
      <c r="C17" s="27"/>
      <c r="D17" s="27"/>
      <c r="E17" s="27"/>
      <c r="F17" s="27"/>
      <c r="G17" s="53">
        <v>29.544</v>
      </c>
      <c r="H17" s="52">
        <v>5375965</v>
      </c>
      <c r="I17" s="52">
        <f t="shared" si="0"/>
        <v>181964.696723531</v>
      </c>
    </row>
    <row r="18" spans="1:9" ht="30" customHeight="1" x14ac:dyDescent="0.2">
      <c r="A18" s="24" t="s">
        <v>925</v>
      </c>
      <c r="B18" s="27"/>
      <c r="C18" s="27"/>
      <c r="D18" s="27"/>
      <c r="E18" s="27"/>
      <c r="F18" s="27"/>
      <c r="G18" s="53">
        <v>34.613</v>
      </c>
      <c r="H18" s="52">
        <v>6275178</v>
      </c>
      <c r="I18" s="52">
        <f t="shared" si="0"/>
        <v>181295.40923930315</v>
      </c>
    </row>
    <row r="19" spans="1:9" ht="30" customHeight="1" x14ac:dyDescent="0.2">
      <c r="A19" s="24" t="s">
        <v>430</v>
      </c>
      <c r="B19" s="27"/>
      <c r="C19" s="27"/>
      <c r="D19" s="27"/>
      <c r="E19" s="27"/>
      <c r="F19" s="27"/>
      <c r="G19" s="53">
        <v>20.234000000000002</v>
      </c>
      <c r="H19" s="52">
        <v>3418609</v>
      </c>
      <c r="I19" s="52">
        <f t="shared" si="0"/>
        <v>168953.69180587129</v>
      </c>
    </row>
    <row r="20" spans="1:9" ht="30" customHeight="1" x14ac:dyDescent="0.2">
      <c r="A20" s="24" t="s">
        <v>446</v>
      </c>
      <c r="B20" s="27"/>
      <c r="C20" s="27"/>
      <c r="D20" s="27"/>
      <c r="E20" s="27"/>
      <c r="F20" s="27"/>
      <c r="G20" s="53">
        <v>26.881</v>
      </c>
      <c r="H20" s="52">
        <v>4321628</v>
      </c>
      <c r="I20" s="52">
        <f t="shared" si="0"/>
        <v>160768.8702057215</v>
      </c>
    </row>
    <row r="21" spans="1:9" ht="30" customHeight="1" x14ac:dyDescent="0.2">
      <c r="A21" s="24" t="s">
        <v>439</v>
      </c>
      <c r="B21" s="27"/>
      <c r="C21" s="27"/>
      <c r="D21" s="27"/>
      <c r="E21" s="27"/>
      <c r="F21" s="27"/>
      <c r="G21" s="53">
        <v>20.672000000000001</v>
      </c>
      <c r="H21" s="52">
        <v>3153437</v>
      </c>
      <c r="I21" s="52">
        <f t="shared" si="0"/>
        <v>152546.29450464397</v>
      </c>
    </row>
    <row r="22" spans="1:9" ht="30" customHeight="1" x14ac:dyDescent="0.2">
      <c r="A22" s="24" t="s">
        <v>367</v>
      </c>
      <c r="B22" s="27"/>
      <c r="C22" s="27"/>
      <c r="D22" s="27"/>
      <c r="E22" s="27"/>
      <c r="F22" s="27"/>
      <c r="G22" s="53">
        <v>22.55</v>
      </c>
      <c r="H22" s="52">
        <v>3416777</v>
      </c>
      <c r="I22" s="52">
        <f t="shared" si="0"/>
        <v>151520.044345898</v>
      </c>
    </row>
    <row r="23" spans="1:9" ht="30" customHeight="1" x14ac:dyDescent="0.2">
      <c r="A23" s="24" t="s">
        <v>926</v>
      </c>
      <c r="B23" s="27"/>
      <c r="C23" s="27"/>
      <c r="D23" s="27"/>
      <c r="E23" s="27"/>
      <c r="F23" s="27"/>
      <c r="G23" s="53">
        <v>26.378</v>
      </c>
      <c r="H23" s="52">
        <v>3984582</v>
      </c>
      <c r="I23" s="52">
        <f t="shared" si="0"/>
        <v>151057.01721131246</v>
      </c>
    </row>
    <row r="24" spans="1:9" ht="30" customHeight="1" x14ac:dyDescent="0.2">
      <c r="A24" s="24" t="s">
        <v>324</v>
      </c>
      <c r="B24" s="27"/>
      <c r="C24" s="27"/>
      <c r="D24" s="27"/>
      <c r="E24" s="27"/>
      <c r="F24" s="27"/>
      <c r="G24" s="53">
        <v>17.983000000000001</v>
      </c>
      <c r="H24" s="52">
        <v>2710479</v>
      </c>
      <c r="I24" s="52">
        <f t="shared" si="0"/>
        <v>150724.51759995552</v>
      </c>
    </row>
    <row r="25" spans="1:9" ht="30" customHeight="1" x14ac:dyDescent="0.2">
      <c r="A25" s="24" t="s">
        <v>927</v>
      </c>
      <c r="B25" s="27"/>
      <c r="C25" s="27"/>
      <c r="D25" s="27"/>
      <c r="E25" s="27"/>
      <c r="F25" s="27"/>
      <c r="G25" s="53">
        <v>33.959000000000003</v>
      </c>
      <c r="H25" s="52">
        <v>4611334</v>
      </c>
      <c r="I25" s="52">
        <f t="shared" si="0"/>
        <v>135791.21882269793</v>
      </c>
    </row>
    <row r="26" spans="1:9" ht="30" customHeight="1" x14ac:dyDescent="0.2">
      <c r="A26" s="24" t="s">
        <v>928</v>
      </c>
      <c r="B26" s="27"/>
      <c r="C26" s="27"/>
      <c r="D26" s="27"/>
      <c r="E26" s="27"/>
      <c r="F26" s="27"/>
      <c r="G26" s="53">
        <v>24.062999999999999</v>
      </c>
      <c r="H26" s="52">
        <v>3209091</v>
      </c>
      <c r="I26" s="52">
        <f t="shared" si="0"/>
        <v>133362.04961974817</v>
      </c>
    </row>
    <row r="27" spans="1:9" ht="30" customHeight="1" x14ac:dyDescent="0.2">
      <c r="A27" s="24" t="s">
        <v>465</v>
      </c>
      <c r="B27" s="27"/>
      <c r="C27" s="27"/>
      <c r="D27" s="27"/>
      <c r="E27" s="27"/>
      <c r="F27" s="27"/>
      <c r="G27" s="53">
        <v>30.984000000000002</v>
      </c>
      <c r="H27" s="52">
        <v>3840407</v>
      </c>
      <c r="I27" s="52">
        <f t="shared" si="0"/>
        <v>123948.06997159823</v>
      </c>
    </row>
    <row r="28" spans="1:9" ht="30" customHeight="1" x14ac:dyDescent="0.2">
      <c r="A28" s="24" t="s">
        <v>631</v>
      </c>
      <c r="B28" s="27"/>
      <c r="C28" s="27"/>
      <c r="D28" s="27"/>
      <c r="E28" s="27"/>
      <c r="F28" s="27"/>
      <c r="G28" s="53">
        <v>30.295999999999999</v>
      </c>
      <c r="H28" s="52">
        <v>3730471</v>
      </c>
      <c r="I28" s="52">
        <f t="shared" si="0"/>
        <v>123134.11011354634</v>
      </c>
    </row>
    <row r="29" spans="1:9" ht="30" customHeight="1" x14ac:dyDescent="0.2">
      <c r="A29" s="24" t="s">
        <v>428</v>
      </c>
      <c r="B29" s="27"/>
      <c r="C29" s="27"/>
      <c r="D29" s="27"/>
      <c r="E29" s="27"/>
      <c r="F29" s="27"/>
      <c r="G29" s="53">
        <v>21.515999999999998</v>
      </c>
      <c r="H29" s="52">
        <v>2644047</v>
      </c>
      <c r="I29" s="52">
        <f t="shared" si="0"/>
        <v>122887.47908533186</v>
      </c>
    </row>
    <row r="30" spans="1:9" ht="30" customHeight="1" x14ac:dyDescent="0.2">
      <c r="A30" s="24" t="s">
        <v>929</v>
      </c>
      <c r="B30" s="27"/>
      <c r="C30" s="27"/>
      <c r="D30" s="27"/>
      <c r="E30" s="27"/>
      <c r="F30" s="27"/>
      <c r="G30" s="53">
        <v>25.969000000000001</v>
      </c>
      <c r="H30" s="52">
        <v>3184450</v>
      </c>
      <c r="I30" s="52">
        <f t="shared" si="0"/>
        <v>122625.05294774538</v>
      </c>
    </row>
    <row r="31" spans="1:9" ht="30" customHeight="1" x14ac:dyDescent="0.2">
      <c r="A31" s="24" t="s">
        <v>418</v>
      </c>
      <c r="B31" s="27"/>
      <c r="C31" s="27"/>
      <c r="D31" s="27"/>
      <c r="E31" s="27"/>
      <c r="F31" s="27"/>
      <c r="G31" s="53">
        <v>25.983000000000001</v>
      </c>
      <c r="H31" s="52">
        <v>3122785</v>
      </c>
      <c r="I31" s="52">
        <f t="shared" si="0"/>
        <v>120185.69834122311</v>
      </c>
    </row>
    <row r="32" spans="1:9" ht="30" customHeight="1" x14ac:dyDescent="0.2">
      <c r="A32" s="24" t="s">
        <v>930</v>
      </c>
      <c r="B32" s="27"/>
      <c r="C32" s="27"/>
      <c r="D32" s="27"/>
      <c r="E32" s="24"/>
      <c r="F32" s="27"/>
      <c r="G32" s="53">
        <v>56.981000000000002</v>
      </c>
      <c r="H32" s="52">
        <v>6389201</v>
      </c>
      <c r="I32" s="52">
        <f t="shared" si="0"/>
        <v>112128.62182130886</v>
      </c>
    </row>
    <row r="33" spans="1:9" ht="30" customHeight="1" x14ac:dyDescent="0.2">
      <c r="A33" s="24" t="s">
        <v>929</v>
      </c>
      <c r="B33" s="27"/>
      <c r="C33" s="27"/>
      <c r="D33" s="27"/>
      <c r="E33" s="27"/>
      <c r="F33" s="27"/>
      <c r="G33" s="53">
        <v>27.648</v>
      </c>
      <c r="H33" s="52">
        <v>3032359</v>
      </c>
      <c r="I33" s="52">
        <f t="shared" si="0"/>
        <v>109677.33651620371</v>
      </c>
    </row>
    <row r="34" spans="1:9" ht="30" customHeight="1" x14ac:dyDescent="0.2">
      <c r="A34" s="24" t="s">
        <v>931</v>
      </c>
      <c r="B34" s="27"/>
      <c r="C34" s="27"/>
      <c r="D34" s="27"/>
      <c r="E34" s="27"/>
      <c r="F34" s="27"/>
      <c r="G34" s="53">
        <v>38.956000000000003</v>
      </c>
      <c r="H34" s="52">
        <v>4084656</v>
      </c>
      <c r="I34" s="52">
        <f t="shared" si="0"/>
        <v>104853.06499640619</v>
      </c>
    </row>
    <row r="35" spans="1:9" ht="30" customHeight="1" x14ac:dyDescent="0.2">
      <c r="A35" s="24" t="s">
        <v>928</v>
      </c>
      <c r="B35" s="27"/>
      <c r="C35" s="27"/>
      <c r="D35" s="27"/>
      <c r="E35" s="27"/>
      <c r="F35" s="27"/>
      <c r="G35" s="53">
        <v>29.617000000000001</v>
      </c>
      <c r="H35" s="52">
        <v>3104784</v>
      </c>
      <c r="I35" s="52">
        <f t="shared" si="0"/>
        <v>104831.14427524732</v>
      </c>
    </row>
    <row r="36" spans="1:9" ht="30" customHeight="1" x14ac:dyDescent="0.2">
      <c r="A36" s="24" t="s">
        <v>426</v>
      </c>
      <c r="B36" s="27"/>
      <c r="C36" s="27"/>
      <c r="D36" s="27"/>
      <c r="E36" s="27"/>
      <c r="F36" s="27"/>
      <c r="G36" s="53">
        <v>42.581000000000003</v>
      </c>
      <c r="H36" s="52">
        <v>4349707</v>
      </c>
      <c r="I36" s="52">
        <f t="shared" si="0"/>
        <v>102151.35858716328</v>
      </c>
    </row>
    <row r="37" spans="1:9" ht="30" customHeight="1" x14ac:dyDescent="0.2">
      <c r="A37" s="24" t="s">
        <v>932</v>
      </c>
      <c r="B37" s="27"/>
      <c r="C37" s="27"/>
      <c r="D37" s="27"/>
      <c r="E37" s="27"/>
      <c r="F37" s="27"/>
      <c r="G37" s="53">
        <v>98.596000000000004</v>
      </c>
      <c r="H37" s="52">
        <v>9976620</v>
      </c>
      <c r="I37" s="52">
        <f t="shared" si="0"/>
        <v>101186.86356444481</v>
      </c>
    </row>
    <row r="38" spans="1:9" ht="30" customHeight="1" x14ac:dyDescent="0.2">
      <c r="A38" s="24" t="s">
        <v>422</v>
      </c>
      <c r="B38" s="27"/>
      <c r="C38" s="27"/>
      <c r="D38" s="27"/>
      <c r="E38" s="27"/>
      <c r="F38" s="27"/>
      <c r="G38" s="53">
        <v>50.015999999999998</v>
      </c>
      <c r="H38" s="52">
        <v>3944612</v>
      </c>
      <c r="I38" s="52">
        <f t="shared" si="0"/>
        <v>78867.00255918107</v>
      </c>
    </row>
  </sheetData>
  <autoFilter ref="A1:I38" xr:uid="{00000000-0009-0000-0000-000008000000}"/>
  <customSheetViews>
    <customSheetView guid="{7BB77F1C-095E-42C5-9CEE-DD9A45611D57}" filter="1" showAutoFilter="1">
      <pageMargins left="0.7" right="0.7" top="0.75" bottom="0.75" header="0.3" footer="0.3"/>
      <autoFilter ref="A1:I38" xr:uid="{A881F3FE-F5D7-4B7E-B1E8-230362AF4915}"/>
    </customSheetView>
    <customSheetView guid="{0C34A16E-AC52-462E-BA03-E4B6D381A7A9}" filter="1" showAutoFilter="1">
      <pageMargins left="0.7" right="0.7" top="0.75" bottom="0.75" header="0.3" footer="0.3"/>
      <autoFilter ref="A1:I38" xr:uid="{46CFE019-26C9-4AE4-9DA9-9CF94333DA03}"/>
    </customSheetView>
  </customSheetViews>
  <conditionalFormatting sqref="D2:D7 F2:F7 E2:E13 B2:C38 D9 D11:D12 D14:D38 E15:E17 F15:F37 E19:E38">
    <cfRule type="containsText" dxfId="18" priority="1" operator="containsText" text="!">
      <formula>NOT(ISERROR(SEARCH(("!"),(B2))))</formula>
    </cfRule>
  </conditionalFormatting>
  <conditionalFormatting sqref="H2:H38">
    <cfRule type="colorScale" priority="3">
      <colorScale>
        <cfvo type="min"/>
        <cfvo type="percentile" val="50"/>
        <cfvo type="max"/>
        <color rgb="FFE67C73"/>
        <color rgb="FFFFD666"/>
        <color rgb="FF57BB8A"/>
      </colorScale>
    </cfRule>
  </conditionalFormatting>
  <conditionalFormatting sqref="I2:I38">
    <cfRule type="colorScale" priority="2">
      <colorScale>
        <cfvo type="min"/>
        <cfvo type="percentile" val="50"/>
        <cfvo type="max"/>
        <color rgb="FFE67C73"/>
        <color rgb="FFFFD666"/>
        <color rgb="FF57BB8A"/>
      </colorScale>
    </cfRule>
  </conditionalFormatting>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Home</vt:lpstr>
      <vt:lpstr>Changelog</vt:lpstr>
      <vt:lpstr>FAQ</vt:lpstr>
      <vt:lpstr>Equipment</vt:lpstr>
      <vt:lpstr>Weapons</vt:lpstr>
      <vt:lpstr>Abilities</vt:lpstr>
      <vt:lpstr>Ranking</vt:lpstr>
      <vt:lpstr>Single</vt:lpstr>
      <vt:lpstr>Ranking (old)</vt:lpstr>
      <vt:lpstr>Sequencing (old)</vt:lpstr>
      <vt:lpstr>Sequencing</vt:lpstr>
      <vt:lpstr>Single (old)</vt:lpstr>
      <vt:lpstr>Swap</vt:lpstr>
      <vt:lpstr>Bosses</vt:lpstr>
      <vt:lpstr>Timing (old)</vt:lpstr>
      <vt:lpstr>Wolfpacks (old)</vt:lpstr>
      <vt:lpstr>Wolfpacks</vt:lpstr>
      <vt:lpstr>Historical</vt:lpstr>
      <vt:lpstr>Testing</vt:lpstr>
      <vt:lpstr>Experimental</vt:lpstr>
      <vt:lpstr>Components (old)</vt:lpstr>
      <vt:lpstr>Effects</vt:lpstr>
      <vt:lpstr>Timing (older)</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Kacper Dorożalski</cp:lastModifiedBy>
  <dcterms:modified xsi:type="dcterms:W3CDTF">2024-02-28T18:50:46Z</dcterms:modified>
</cp:coreProperties>
</file>